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7.xml" ContentType="application/vnd.openxmlformats-officedocument.spreadsheetml.work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chartsheets/sheet10.xml" ContentType="application/vnd.openxmlformats-officedocument.spreadsheetml.chartsheet+xml"/>
  <Override PartName="/xl/worksheets/sheet9.xml" ContentType="application/vnd.openxmlformats-officedocument.spreadsheetml.worksheet+xml"/>
  <Override PartName="/xl/chartsheets/sheet11.xml" ContentType="application/vnd.openxmlformats-officedocument.spreadsheetml.chartsheet+xml"/>
  <Override PartName="/xl/worksheets/sheet10.xml" ContentType="application/vnd.openxmlformats-officedocument.spreadsheetml.worksheet+xml"/>
  <Override PartName="/xl/chartsheets/sheet12.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autoCompressPictures="0" defaultThemeVersion="124226"/>
  <bookViews>
    <workbookView xWindow="-1785" yWindow="15" windowWidth="13380" windowHeight="11385" tabRatio="863"/>
  </bookViews>
  <sheets>
    <sheet name="INDEX" sheetId="49" r:id="rId1"/>
    <sheet name="Stocks" sheetId="2" r:id="rId2"/>
    <sheet name="Stocks-Days (g)" sheetId="6" r:id="rId3"/>
    <sheet name="Stocks-Tons (g)" sheetId="7" r:id="rId4"/>
    <sheet name="ProdAreaYield" sheetId="8" r:id="rId5"/>
    <sheet name="Yield (g)" sheetId="10" r:id="rId6"/>
    <sheet name="ProdPerCap" sheetId="9" r:id="rId7"/>
    <sheet name="ProdPerCap (g)" sheetId="11" r:id="rId8"/>
    <sheet name="Balance" sheetId="12" r:id="rId9"/>
    <sheet name="Balance (g)" sheetId="14" r:id="rId10"/>
    <sheet name="AreaPerCap" sheetId="16" r:id="rId11"/>
    <sheet name="AreaPerCap (g)" sheetId="18" r:id="rId12"/>
    <sheet name="Area (g)" sheetId="17" r:id="rId13"/>
    <sheet name="ProdConTrade" sheetId="19" r:id="rId14"/>
    <sheet name="Exports (g)" sheetId="20" r:id="rId15"/>
    <sheet name="Imports (g)" sheetId="22" r:id="rId16"/>
    <sheet name="CornWheatRice Prod" sheetId="23" r:id="rId17"/>
    <sheet name="CornWheatRice Prod (g)" sheetId="24" r:id="rId18"/>
    <sheet name="CornWheatRice Area" sheetId="25" r:id="rId19"/>
    <sheet name="CornWheatRice Area (g)" sheetId="26" r:id="rId20"/>
    <sheet name="CornWheatRice Yields" sheetId="27" r:id="rId21"/>
    <sheet name="CornWheatRice Yields (g)" sheetId="32" r:id="rId22"/>
    <sheet name="Top 10 Prod" sheetId="55" r:id="rId23"/>
    <sheet name="Top 10 Grain Importers" sheetId="29" r:id="rId24"/>
    <sheet name="Top 10 Grain Exporters" sheetId="34" r:id="rId25"/>
    <sheet name="Top 10 Consumers" sheetId="35" r:id="rId26"/>
    <sheet name="Grain Area per Person" sheetId="38" r:id="rId27"/>
    <sheet name="World Food Prices" sheetId="51" r:id="rId28"/>
    <sheet name="Total Food Price Index (g)" sheetId="52" r:id="rId29"/>
    <sheet name="Grains Price Index (g)" sheetId="53" r:id="rId30"/>
    <sheet name="All Price Indices (g)" sheetId="54" r:id="rId31"/>
    <sheet name="WFP Aid Recipients" sheetId="42" r:id="rId32"/>
    <sheet name="Food Insecurity Indicators" sheetId="50" r:id="rId33"/>
  </sheets>
  <externalReferences>
    <externalReference r:id="rId34"/>
    <externalReference r:id="rId35"/>
    <externalReference r:id="rId36"/>
  </externalReferences>
  <definedNames>
    <definedName name="\I">#REF!</definedName>
    <definedName name="\P">#REF!</definedName>
    <definedName name="__123Graph_A" hidden="1">[1]DATA!#REF!</definedName>
    <definedName name="__123Graph_X" hidden="1">[1]DATA!#REF!</definedName>
    <definedName name="_1__123Graph_ACELL_EFFICIENCY" hidden="1">[1]DATA!#REF!</definedName>
    <definedName name="_10__123Graph_XS_THERMAL_PRICE" hidden="1">[1]DATA!#REF!</definedName>
    <definedName name="_12__123Graph_AS_THERMAL_PRICE" hidden="1">[1]DATA!#REF!</definedName>
    <definedName name="_16__123Graph_BCELL_EFFICIENCY" hidden="1">[1]DATA!#REF!</definedName>
    <definedName name="_2__123Graph_AMODEL_T" hidden="1">[1]DATA!#REF!</definedName>
    <definedName name="_20__123Graph_BMODEL_T" hidden="1">[1]DATA!#REF!</definedName>
    <definedName name="_24__123Graph_CCELL_EFFICIENCY" hidden="1">[1]DATA!#REF!</definedName>
    <definedName name="_28__123Graph_LBL_AMODEL_T" hidden="1">[1]DATA!#REF!</definedName>
    <definedName name="_3__123Graph_AS_THERMAL_PRICE" hidden="1">[1]DATA!#REF!</definedName>
    <definedName name="_32__123Graph_XCELL_EFFICIENCY" hidden="1">[1]DATA!#REF!</definedName>
    <definedName name="_36__123Graph_XMODEL_T" hidden="1">[1]DATA!#REF!</definedName>
    <definedName name="_4__123Graph_ACELL_EFFICIENCY" hidden="1">[1]DATA!#REF!</definedName>
    <definedName name="_4__123Graph_BCELL_EFFICIENCY" hidden="1">[1]DATA!#REF!</definedName>
    <definedName name="_40__123Graph_XS_THERMAL_PRICE" hidden="1">[1]DATA!#REF!</definedName>
    <definedName name="_5__123Graph_BMODEL_T" hidden="1">[1]DATA!#REF!</definedName>
    <definedName name="_6__123Graph_CCELL_EFFICIENCY" hidden="1">[1]DATA!#REF!</definedName>
    <definedName name="_7__123Graph_LBL_AMODEL_T" hidden="1">[1]DATA!#REF!</definedName>
    <definedName name="_8__123Graph_AMODEL_T" hidden="1">[1]DATA!#REF!</definedName>
    <definedName name="_8__123Graph_XCELL_EFFICIENCY" hidden="1">[1]DATA!#REF!</definedName>
    <definedName name="_9__123Graph_XMODEL_T" hidden="1">[1]DATA!#REF!</definedName>
    <definedName name="_Key1" hidden="1">#REF!</definedName>
    <definedName name="_Order1" hidden="1">255</definedName>
    <definedName name="_Sort" hidden="1">#REF!</definedName>
    <definedName name="_Sort1" hidden="1">#REF!</definedName>
    <definedName name="aa">'[2]Oil Consumption – barrels'!#REF!</definedName>
    <definedName name="B" hidden="1">[1]DATA!#REF!</definedName>
    <definedName name="Deflator" localSheetId="23">[3]VS2001_EconData1999Dollars_data!#REF!</definedName>
    <definedName name="Deflator" localSheetId="22">[3]VS2001_EconData1999Dollars_data!#REF!</definedName>
    <definedName name="Deflator">[3]VS2001_EconData1999Dollars_data!#REF!</definedName>
    <definedName name="G" localSheetId="23">#REF!</definedName>
    <definedName name="G" localSheetId="22">#REF!</definedName>
    <definedName name="G">#REF!</definedName>
    <definedName name="H" localSheetId="23">#REF!</definedName>
    <definedName name="H" localSheetId="22">#REF!</definedName>
    <definedName name="H">#REF!</definedName>
    <definedName name="hydro">#REF!</definedName>
    <definedName name="INIT">#REF!</definedName>
    <definedName name="LEAP">#REF!</definedName>
    <definedName name="NONLEAP">#REF!</definedName>
    <definedName name="_xlnm.Print_Area" localSheetId="26">'Grain Area per Person'!$A$1:$H$57</definedName>
    <definedName name="_xlnm.Print_Area" localSheetId="6">ProdPerCap!$A$1:$G$77</definedName>
    <definedName name="_xlnm.Print_Titles" localSheetId="27">'World Food Prices'!$3:$3</definedName>
    <definedName name="Print1">#REF!</definedName>
    <definedName name="S" localSheetId="23">#REF!</definedName>
    <definedName name="S" localSheetId="22">#REF!</definedName>
    <definedName name="S">#REF!</definedName>
    <definedName name="T" localSheetId="23">#REF!</definedName>
    <definedName name="T" localSheetId="22">#REF!</definedName>
    <definedName name="T">#REF!</definedName>
    <definedName name="T?">#REF!</definedName>
    <definedName name="table" hidden="1">[1]DATA!#REF!</definedName>
    <definedName name="test" localSheetId="23" hidden="1">[1]DATA!#REF!</definedName>
    <definedName name="test" localSheetId="22" hidden="1">[1]DATA!#REF!</definedName>
    <definedName name="test" hidden="1">[1]DATA!#REF!</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L18" i="55" l="1"/>
  <c r="I18" i="55"/>
  <c r="F18" i="55"/>
  <c r="C18" i="55"/>
  <c r="D66" i="42" l="1"/>
  <c r="C66" i="42"/>
  <c r="B66" i="42"/>
  <c r="D6" i="2" l="1"/>
  <c r="D67" i="16" l="1"/>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A8" i="16"/>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D7" i="16"/>
  <c r="A7" i="16"/>
  <c r="D6" i="16"/>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7" i="23"/>
  <c r="C57" i="23"/>
  <c r="B57" i="23"/>
  <c r="D56" i="23"/>
  <c r="C56" i="23"/>
  <c r="B56" i="23"/>
  <c r="D55" i="23"/>
  <c r="C55" i="23"/>
  <c r="B55" i="23"/>
  <c r="D54" i="23"/>
  <c r="C54" i="23"/>
  <c r="B54" i="23"/>
  <c r="D53" i="23"/>
  <c r="C53" i="23"/>
  <c r="B53" i="23"/>
  <c r="D52" i="23"/>
  <c r="C52" i="23"/>
  <c r="B52" i="23"/>
  <c r="D51" i="23"/>
  <c r="C51" i="23"/>
  <c r="B51" i="23"/>
  <c r="D50" i="23"/>
  <c r="C50" i="23"/>
  <c r="B50" i="23"/>
  <c r="D49" i="23"/>
  <c r="C49" i="23"/>
  <c r="B49" i="23"/>
  <c r="D48" i="23"/>
  <c r="C48" i="23"/>
  <c r="B48" i="23"/>
  <c r="D47" i="23"/>
  <c r="C47" i="23"/>
  <c r="B47" i="23"/>
  <c r="D46" i="23"/>
  <c r="C46" i="23"/>
  <c r="B46" i="23"/>
  <c r="D45" i="23"/>
  <c r="C45" i="23"/>
  <c r="B45" i="23"/>
  <c r="D44" i="23"/>
  <c r="C44" i="23"/>
  <c r="B44" i="23"/>
  <c r="D43" i="23"/>
  <c r="C43" i="23"/>
  <c r="B43" i="23"/>
  <c r="D42" i="23"/>
  <c r="C42" i="23"/>
  <c r="B42" i="23"/>
  <c r="D41" i="23"/>
  <c r="C41" i="23"/>
  <c r="B41" i="23"/>
  <c r="D40" i="23"/>
  <c r="C40" i="23"/>
  <c r="B40" i="23"/>
  <c r="D39" i="23"/>
  <c r="C39" i="23"/>
  <c r="B39" i="23"/>
  <c r="D38" i="23"/>
  <c r="C38" i="23"/>
  <c r="B38" i="23"/>
  <c r="D37" i="23"/>
  <c r="C37" i="23"/>
  <c r="B37" i="23"/>
  <c r="D36" i="23"/>
  <c r="C36" i="23"/>
  <c r="B36" i="23"/>
  <c r="D35" i="23"/>
  <c r="C35" i="23"/>
  <c r="B35" i="23"/>
  <c r="D34" i="23"/>
  <c r="C34" i="23"/>
  <c r="B34" i="23"/>
  <c r="D33" i="23"/>
  <c r="C33" i="23"/>
  <c r="B33" i="23"/>
  <c r="D32" i="23"/>
  <c r="C32" i="23"/>
  <c r="B32" i="23"/>
  <c r="D31" i="23"/>
  <c r="C31" i="23"/>
  <c r="B31" i="23"/>
  <c r="D30" i="23"/>
  <c r="C30" i="23"/>
  <c r="B30" i="23"/>
  <c r="D29" i="23"/>
  <c r="C29" i="23"/>
  <c r="B29" i="23"/>
  <c r="D28" i="23"/>
  <c r="C28" i="23"/>
  <c r="B28" i="23"/>
  <c r="D27" i="23"/>
  <c r="C27" i="23"/>
  <c r="B27" i="23"/>
  <c r="D26" i="23"/>
  <c r="C26" i="23"/>
  <c r="B26" i="23"/>
  <c r="D25" i="23"/>
  <c r="C25" i="23"/>
  <c r="B25" i="23"/>
  <c r="D24" i="23"/>
  <c r="C24" i="23"/>
  <c r="B24" i="23"/>
  <c r="D23" i="23"/>
  <c r="C23" i="23"/>
  <c r="B23" i="23"/>
  <c r="D22" i="23"/>
  <c r="C22" i="23"/>
  <c r="B22" i="23"/>
  <c r="D21" i="23"/>
  <c r="C21" i="23"/>
  <c r="B21" i="23"/>
  <c r="D20" i="23"/>
  <c r="C20" i="23"/>
  <c r="B20" i="23"/>
  <c r="D19" i="23"/>
  <c r="C19" i="23"/>
  <c r="B19" i="23"/>
  <c r="D18" i="23"/>
  <c r="C18" i="23"/>
  <c r="B18" i="23"/>
  <c r="D17" i="23"/>
  <c r="C17" i="23"/>
  <c r="B17" i="23"/>
  <c r="D16" i="23"/>
  <c r="C16" i="23"/>
  <c r="B16" i="23"/>
  <c r="D15" i="23"/>
  <c r="C15" i="23"/>
  <c r="B15" i="23"/>
  <c r="D14" i="23"/>
  <c r="C14" i="23"/>
  <c r="B14" i="23"/>
  <c r="D13" i="23"/>
  <c r="C13" i="23"/>
  <c r="B13" i="23"/>
  <c r="D12" i="23"/>
  <c r="C12" i="23"/>
  <c r="B12" i="23"/>
  <c r="D11" i="23"/>
  <c r="C11" i="23"/>
  <c r="B11" i="23"/>
  <c r="D10" i="23"/>
  <c r="C10" i="23"/>
  <c r="B10" i="23"/>
  <c r="D9" i="23"/>
  <c r="C9" i="23"/>
  <c r="B9" i="23"/>
  <c r="D8" i="23"/>
  <c r="C8" i="23"/>
  <c r="B8" i="23"/>
  <c r="D7" i="23"/>
  <c r="C7" i="23"/>
  <c r="B7" i="23"/>
  <c r="D6" i="23"/>
  <c r="C6" i="23"/>
  <c r="B6" i="23"/>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E57" i="19"/>
  <c r="D57" i="19"/>
  <c r="F57" i="19" s="1"/>
  <c r="F56" i="19"/>
  <c r="E56" i="19"/>
  <c r="D56" i="19"/>
  <c r="F55" i="19"/>
  <c r="E55" i="19"/>
  <c r="D55" i="19"/>
  <c r="E54" i="19"/>
  <c r="D54" i="19"/>
  <c r="F54" i="19" s="1"/>
  <c r="E53" i="19"/>
  <c r="D53" i="19"/>
  <c r="F53" i="19" s="1"/>
  <c r="F52" i="19"/>
  <c r="E52" i="19"/>
  <c r="D52" i="19"/>
  <c r="F51" i="19"/>
  <c r="E51" i="19"/>
  <c r="D51" i="19"/>
  <c r="E50" i="19"/>
  <c r="D50" i="19"/>
  <c r="F50" i="19" s="1"/>
  <c r="E49" i="19"/>
  <c r="D49" i="19"/>
  <c r="F49" i="19" s="1"/>
  <c r="F48" i="19"/>
  <c r="E48" i="19"/>
  <c r="D48" i="19"/>
  <c r="F47" i="19"/>
  <c r="E47" i="19"/>
  <c r="D47" i="19"/>
  <c r="E46" i="19"/>
  <c r="D46" i="19"/>
  <c r="F46" i="19" s="1"/>
  <c r="E45" i="19"/>
  <c r="D45" i="19"/>
  <c r="F45" i="19" s="1"/>
  <c r="F44" i="19"/>
  <c r="E44" i="19"/>
  <c r="D44" i="19"/>
  <c r="F43" i="19"/>
  <c r="E43" i="19"/>
  <c r="D43" i="19"/>
  <c r="E42" i="19"/>
  <c r="D42" i="19"/>
  <c r="F42" i="19" s="1"/>
  <c r="E41" i="19"/>
  <c r="D41" i="19"/>
  <c r="F41" i="19" s="1"/>
  <c r="F40" i="19"/>
  <c r="E40" i="19"/>
  <c r="D40" i="19"/>
  <c r="F39" i="19"/>
  <c r="E39" i="19"/>
  <c r="D39" i="19"/>
  <c r="E38" i="19"/>
  <c r="D38" i="19"/>
  <c r="F38" i="19" s="1"/>
  <c r="E37" i="19"/>
  <c r="D37" i="19"/>
  <c r="F37" i="19" s="1"/>
  <c r="F36" i="19"/>
  <c r="E36" i="19"/>
  <c r="D36" i="19"/>
  <c r="F35" i="19"/>
  <c r="E35" i="19"/>
  <c r="D35" i="19"/>
  <c r="E34" i="19"/>
  <c r="D34" i="19"/>
  <c r="F34" i="19" s="1"/>
  <c r="E33" i="19"/>
  <c r="D33" i="19"/>
  <c r="F33" i="19" s="1"/>
  <c r="F32" i="19"/>
  <c r="E32" i="19"/>
  <c r="D32" i="19"/>
  <c r="F31" i="19"/>
  <c r="E31" i="19"/>
  <c r="D31" i="19"/>
  <c r="E30" i="19"/>
  <c r="D30" i="19"/>
  <c r="F30" i="19" s="1"/>
  <c r="E29" i="19"/>
  <c r="D29" i="19"/>
  <c r="F29" i="19" s="1"/>
  <c r="F28" i="19"/>
  <c r="E28" i="19"/>
  <c r="D28" i="19"/>
  <c r="F27" i="19"/>
  <c r="E27" i="19"/>
  <c r="D27" i="19"/>
  <c r="E26" i="19"/>
  <c r="D26" i="19"/>
  <c r="F26" i="19" s="1"/>
  <c r="E25" i="19"/>
  <c r="D25" i="19"/>
  <c r="F25" i="19" s="1"/>
  <c r="F24" i="19"/>
  <c r="E24" i="19"/>
  <c r="D24" i="19"/>
  <c r="F23" i="19"/>
  <c r="E23" i="19"/>
  <c r="D23" i="19"/>
  <c r="E22" i="19"/>
  <c r="D22" i="19"/>
  <c r="F22" i="19" s="1"/>
  <c r="E21" i="19"/>
  <c r="D21" i="19"/>
  <c r="F21" i="19" s="1"/>
  <c r="F20" i="19"/>
  <c r="E20" i="19"/>
  <c r="D20" i="19"/>
  <c r="F19" i="19"/>
  <c r="E19" i="19"/>
  <c r="D19" i="19"/>
  <c r="E18" i="19"/>
  <c r="D18" i="19"/>
  <c r="F18" i="19" s="1"/>
  <c r="E17" i="19"/>
  <c r="D17" i="19"/>
  <c r="F17" i="19" s="1"/>
  <c r="F16" i="19"/>
  <c r="E16" i="19"/>
  <c r="D16" i="19"/>
  <c r="F15" i="19"/>
  <c r="E15" i="19"/>
  <c r="D15" i="19"/>
  <c r="E14" i="19"/>
  <c r="D14" i="19"/>
  <c r="F14" i="19" s="1"/>
  <c r="E13" i="19"/>
  <c r="D13" i="19"/>
  <c r="F13" i="19" s="1"/>
  <c r="F12" i="19"/>
  <c r="E12" i="19"/>
  <c r="D12" i="19"/>
  <c r="F11" i="19"/>
  <c r="E11" i="19"/>
  <c r="D11" i="19"/>
  <c r="E10" i="19"/>
  <c r="D10" i="19"/>
  <c r="F10" i="19" s="1"/>
  <c r="E9" i="19"/>
  <c r="D9" i="19"/>
  <c r="F9" i="19" s="1"/>
  <c r="F8" i="19"/>
  <c r="E8" i="19"/>
  <c r="D8" i="19"/>
  <c r="F7" i="19"/>
  <c r="E7" i="19"/>
  <c r="D7" i="19"/>
  <c r="E6" i="19"/>
  <c r="D6" i="19"/>
  <c r="F6" i="19" s="1"/>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L18" i="35"/>
  <c r="I18" i="35"/>
  <c r="F18" i="35"/>
  <c r="C18" i="35"/>
  <c r="L18" i="34"/>
  <c r="I18" i="34"/>
  <c r="F18" i="34"/>
  <c r="C18" i="34"/>
  <c r="C20" i="29"/>
  <c r="C18" i="29"/>
  <c r="L16" i="29"/>
  <c r="I16" i="29"/>
  <c r="F16" i="29"/>
  <c r="L15" i="29"/>
  <c r="I15" i="29"/>
  <c r="F15" i="29"/>
  <c r="L14" i="29"/>
  <c r="I14" i="29"/>
  <c r="F14" i="29"/>
  <c r="L13" i="29"/>
  <c r="I13" i="29"/>
  <c r="F13" i="29"/>
  <c r="L12" i="29"/>
  <c r="I12" i="29"/>
  <c r="F12" i="29"/>
  <c r="L11" i="29"/>
  <c r="I11" i="29"/>
  <c r="F11" i="29"/>
  <c r="L10" i="29"/>
  <c r="I10" i="29"/>
  <c r="F10" i="29"/>
  <c r="L9" i="29"/>
  <c r="I9" i="29"/>
  <c r="F9" i="29"/>
  <c r="L8" i="29"/>
  <c r="L18" i="29" s="1"/>
  <c r="I8" i="29"/>
  <c r="F8" i="29"/>
  <c r="L7" i="29"/>
  <c r="I7" i="29"/>
  <c r="I18" i="29" s="1"/>
  <c r="F7" i="29"/>
  <c r="F18" i="29" s="1"/>
</calcChain>
</file>

<file path=xl/sharedStrings.xml><?xml version="1.0" encoding="utf-8"?>
<sst xmlns="http://schemas.openxmlformats.org/spreadsheetml/2006/main" count="659" uniqueCount="206">
  <si>
    <t>World Corn, Wheat, and Rice Area, 1960-2011</t>
  </si>
  <si>
    <t>World Average Corn, Wheat, and Rice Yields, 1960-2011</t>
  </si>
  <si>
    <t>Rank</t>
  </si>
  <si>
    <t>Country</t>
  </si>
  <si>
    <t>Quantity</t>
  </si>
  <si>
    <t>United States</t>
  </si>
  <si>
    <t>Japan</t>
  </si>
  <si>
    <t>China</t>
  </si>
  <si>
    <t>Brazil</t>
  </si>
  <si>
    <t>Mexico</t>
  </si>
  <si>
    <t>Ukraine</t>
  </si>
  <si>
    <t>South Korea</t>
  </si>
  <si>
    <t>Argentina</t>
  </si>
  <si>
    <t>India</t>
  </si>
  <si>
    <t>Egypt</t>
  </si>
  <si>
    <t>Russia</t>
  </si>
  <si>
    <t>Taiwan</t>
  </si>
  <si>
    <t>Canada</t>
  </si>
  <si>
    <t>Serbia</t>
  </si>
  <si>
    <t>Colombia</t>
  </si>
  <si>
    <t>South Africa</t>
  </si>
  <si>
    <t>Iran</t>
  </si>
  <si>
    <t>Paraguay</t>
  </si>
  <si>
    <t>Malaysia</t>
  </si>
  <si>
    <t>Rest of World</t>
  </si>
  <si>
    <t>Total</t>
  </si>
  <si>
    <r>
      <t xml:space="preserve">Source: Compiled by Earth Policy Institute from U.S. Department of Agriculture, </t>
    </r>
    <r>
      <rPr>
        <i/>
        <sz val="10"/>
        <rFont val="Arial"/>
        <family val="2"/>
      </rPr>
      <t>Production, Supply, &amp; Distribution</t>
    </r>
    <r>
      <rPr>
        <sz val="10"/>
        <rFont val="Arial"/>
        <family val="2"/>
      </rPr>
      <t>, electronic database, at www.fas.usda.gov/psdonline, updated 11 July 2012.</t>
    </r>
  </si>
  <si>
    <t>Nigeria</t>
  </si>
  <si>
    <t>Algeria</t>
  </si>
  <si>
    <t>Saudi Arabia</t>
  </si>
  <si>
    <t>Cote d'Ivoire</t>
  </si>
  <si>
    <t>Uruguay</t>
  </si>
  <si>
    <t>Turkey</t>
  </si>
  <si>
    <t>Cambodia</t>
  </si>
  <si>
    <t>Top 10 Consumers of Corn, Wheat, Rice, and Total Grain, 2011</t>
  </si>
  <si>
    <t>Hectares</t>
  </si>
  <si>
    <t>Afghanistan</t>
  </si>
  <si>
    <t>Democratic Republic of the Congo</t>
  </si>
  <si>
    <t>Ethiopia</t>
  </si>
  <si>
    <t>France</t>
  </si>
  <si>
    <t>Nepal</t>
  </si>
  <si>
    <t>North Korea</t>
  </si>
  <si>
    <t>Rwanda</t>
  </si>
  <si>
    <t>Sri Lanka</t>
  </si>
  <si>
    <t>Sudan</t>
  </si>
  <si>
    <t>Tanzania</t>
  </si>
  <si>
    <t>Uganda</t>
  </si>
  <si>
    <t>United Kingdom</t>
  </si>
  <si>
    <t>Yemen</t>
  </si>
  <si>
    <t>World Average</t>
  </si>
  <si>
    <t>Note: 2010 grain area used for 2050 projection.</t>
  </si>
  <si>
    <t>Year</t>
  </si>
  <si>
    <t>Consumption</t>
  </si>
  <si>
    <t>Stocks</t>
  </si>
  <si>
    <t>Million Tons</t>
  </si>
  <si>
    <t>Days of Consumption</t>
  </si>
  <si>
    <t>World Grain Consumption and Stocks, 1960-2011</t>
  </si>
  <si>
    <r>
      <t xml:space="preserve">Source: Compiled by Earth Policy Institute from U.S. Department of Agriculture, </t>
    </r>
    <r>
      <rPr>
        <i/>
        <sz val="10"/>
        <rFont val="Arial"/>
        <family val="2"/>
      </rPr>
      <t xml:space="preserve">Production, Supply &amp; Distribution, </t>
    </r>
    <r>
      <rPr>
        <sz val="10"/>
        <rFont val="Arial"/>
        <family val="2"/>
      </rPr>
      <t xml:space="preserve">electronic database, www.fas.usda.gov, updated 11 July 2012. </t>
    </r>
  </si>
  <si>
    <t>World Grain Production, Area, and Yield, 1950-2011</t>
  </si>
  <si>
    <t>Production</t>
  </si>
  <si>
    <t>Area</t>
  </si>
  <si>
    <t>Yield</t>
  </si>
  <si>
    <t>Million Hectares</t>
  </si>
  <si>
    <t>World Grain Production Per Person, 1950-2011</t>
  </si>
  <si>
    <t>Population</t>
  </si>
  <si>
    <t>Production Per Person</t>
  </si>
  <si>
    <t>Millions</t>
  </si>
  <si>
    <t>Kilograms</t>
  </si>
  <si>
    <t>World Grain Production and Consumption, 1960-2011</t>
  </si>
  <si>
    <t>Surplus or Deficit</t>
  </si>
  <si>
    <t>World Grainland Area Per Person, 1950-2011</t>
  </si>
  <si>
    <t>Total Area Harvested</t>
  </si>
  <si>
    <t>Grainland Area Per Person</t>
  </si>
  <si>
    <t>World Grain Production, Consumption, and Trade, 1960-2011</t>
  </si>
  <si>
    <t>Imports</t>
  </si>
  <si>
    <t>Exports</t>
  </si>
  <si>
    <t>Imports as a Share of Consumption</t>
  </si>
  <si>
    <t>Percent</t>
  </si>
  <si>
    <t>World Corn, Wheat, and Rice Production, 1960-2011</t>
  </si>
  <si>
    <t>Corn</t>
  </si>
  <si>
    <t>Wheat</t>
  </si>
  <si>
    <t>Rice</t>
  </si>
  <si>
    <t>Central African Republic</t>
  </si>
  <si>
    <t>Chad</t>
  </si>
  <si>
    <t>Côte D'Ivoire</t>
  </si>
  <si>
    <t>Djibouti</t>
  </si>
  <si>
    <t>El Salvador</t>
  </si>
  <si>
    <t>Gambia</t>
  </si>
  <si>
    <t>Ghana</t>
  </si>
  <si>
    <t>Guatemala</t>
  </si>
  <si>
    <t>Guinea</t>
  </si>
  <si>
    <t>Honduras</t>
  </si>
  <si>
    <t>Kenya</t>
  </si>
  <si>
    <t>Liberia</t>
  </si>
  <si>
    <t>Madagascar</t>
  </si>
  <si>
    <t>Malawi</t>
  </si>
  <si>
    <t>Mali</t>
  </si>
  <si>
    <t>Mauritania</t>
  </si>
  <si>
    <t>Mozambique</t>
  </si>
  <si>
    <t>Namibia</t>
  </si>
  <si>
    <t>Nicaragua</t>
  </si>
  <si>
    <t>Niger</t>
  </si>
  <si>
    <t>Occupied Palestinian Territory</t>
  </si>
  <si>
    <t>Senegal</t>
  </si>
  <si>
    <t>Sierra Leone</t>
  </si>
  <si>
    <t>Swaziland</t>
  </si>
  <si>
    <t>Syria</t>
  </si>
  <si>
    <t>Tajikistan</t>
  </si>
  <si>
    <t>Zambia</t>
  </si>
  <si>
    <t>Zimbabwe</t>
  </si>
  <si>
    <t>Jordan</t>
  </si>
  <si>
    <t>Lebanon</t>
  </si>
  <si>
    <t>Libya</t>
  </si>
  <si>
    <t>Tunisia</t>
  </si>
  <si>
    <t>Countries Receiving World Food Programme Aid, August 2012</t>
  </si>
  <si>
    <t>Congo</t>
  </si>
  <si>
    <t>A full listing of data for the entire book is on-line at:</t>
  </si>
  <si>
    <t>http://www.earth-policy.org/books/fpep/fpep_data</t>
  </si>
  <si>
    <t>Indonesia</t>
  </si>
  <si>
    <t>Total Grain</t>
  </si>
  <si>
    <t>Bangladesh</t>
  </si>
  <si>
    <t>Vietnam</t>
  </si>
  <si>
    <t>Australia</t>
  </si>
  <si>
    <t>Thailand</t>
  </si>
  <si>
    <t>Burma</t>
  </si>
  <si>
    <t>Pakistan</t>
  </si>
  <si>
    <t>Philippines</t>
  </si>
  <si>
    <t>Kazakhstan</t>
  </si>
  <si>
    <t>Top 10 Producers of Corn, Wheat, Rice, and Total Grain, 2011</t>
  </si>
  <si>
    <t>Note: Total grain includes barley, corn, millet, mixed grain, oats, rice, rye, sorghum, and wheat.</t>
  </si>
  <si>
    <t>Iraq</t>
  </si>
  <si>
    <t xml:space="preserve">Lao People’s Democratic Republic </t>
  </si>
  <si>
    <t>Timor-Leste</t>
  </si>
  <si>
    <t>Togo</t>
  </si>
  <si>
    <t xml:space="preserve">GRAPH: World Grain Stocks as Days of Consumption, 1960-2011
</t>
  </si>
  <si>
    <t xml:space="preserve">GRAPH: World Grain Stocks, 1960-2011
</t>
  </si>
  <si>
    <t>GRAPH: World Grain Production Per Person, 1950-2011</t>
  </si>
  <si>
    <t xml:space="preserve">GRAPH: World Grain Balance, 1960-2011
</t>
  </si>
  <si>
    <t xml:space="preserve">GRAPH: World Grain Area Harvested Per Person, 1950-2011
</t>
  </si>
  <si>
    <t xml:space="preserve">GRAPH: World Grain Exports, 1960-2011
</t>
  </si>
  <si>
    <t xml:space="preserve">GRAPH: World Grain Imports as a Share of Consumption, 1960-2011
</t>
  </si>
  <si>
    <t xml:space="preserve">GRAPH: World Corn, Wheat, and Rice Production, 1960-2011
</t>
  </si>
  <si>
    <t>GRAPH: World Corn, Wheat, and Rice Area, 1960-2011</t>
  </si>
  <si>
    <t>GRAPH: World Average Corn, Wheat, and Rice Yields, 1960-2011</t>
  </si>
  <si>
    <t>Country/Territory</t>
  </si>
  <si>
    <r>
      <t>Emergency Operations</t>
    </r>
    <r>
      <rPr>
        <vertAlign val="superscript"/>
        <sz val="10"/>
        <rFont val="Arial"/>
        <family val="2"/>
      </rPr>
      <t>1</t>
    </r>
  </si>
  <si>
    <r>
      <t>Protracted Relief and Recovery Operations</t>
    </r>
    <r>
      <rPr>
        <vertAlign val="superscript"/>
        <sz val="10"/>
        <rFont val="Arial"/>
        <family val="2"/>
      </rPr>
      <t>2</t>
    </r>
  </si>
  <si>
    <t xml:space="preserve">Member of Top 20 Failing States List </t>
  </si>
  <si>
    <t>X</t>
  </si>
  <si>
    <t>Armenia</t>
  </si>
  <si>
    <t>Bolivia</t>
  </si>
  <si>
    <t>Burkina Faso</t>
  </si>
  <si>
    <t>Burma (Myanmar)</t>
  </si>
  <si>
    <t>Burundi</t>
  </si>
  <si>
    <t>Cameroon</t>
  </si>
  <si>
    <r>
      <t xml:space="preserve">2 </t>
    </r>
    <r>
      <rPr>
        <sz val="10"/>
        <color indexed="8"/>
        <rFont val="Arial"/>
        <family val="2"/>
      </rPr>
      <t>For situations in which communities will need more help to recover and to restore food security after the EMOP expires, WFP plans and implements a Protracted Relief and Recovery Operation (PRRO).</t>
    </r>
  </si>
  <si>
    <r>
      <t xml:space="preserve">Source: Compiled by Earth Policy Institute from U.S. Department of Agriculture, </t>
    </r>
    <r>
      <rPr>
        <i/>
        <sz val="10"/>
        <rFont val="Arial"/>
        <family val="2"/>
      </rPr>
      <t xml:space="preserve">Production, Supply, and Distribution, </t>
    </r>
    <r>
      <rPr>
        <sz val="10"/>
        <rFont val="Arial"/>
        <family val="2"/>
      </rPr>
      <t xml:space="preserve">electronic database, at www.fas.usda.gov/psdonline, updated 11 July 2012. </t>
    </r>
  </si>
  <si>
    <t>Angola</t>
  </si>
  <si>
    <t>Comoros</t>
  </si>
  <si>
    <t>Eritrea</t>
  </si>
  <si>
    <t>Haiti</t>
  </si>
  <si>
    <r>
      <t xml:space="preserve">Source: Compiled by Earth Policy Institute from U.S. Department of Agriculture, </t>
    </r>
    <r>
      <rPr>
        <i/>
        <sz val="10"/>
        <rFont val="Arial"/>
        <family val="2"/>
      </rPr>
      <t>Production, Supply, &amp; Distribution</t>
    </r>
    <r>
      <rPr>
        <sz val="10"/>
        <color indexed="8"/>
        <rFont val="Arial"/>
        <family val="2"/>
      </rPr>
      <t>, electronic database, at www.fas.usda.gov/psdonline, updated 11 July 2012.</t>
    </r>
  </si>
  <si>
    <t>Full Planet, Empty Plates</t>
  </si>
  <si>
    <t>Supporting Data for Chapter 1: Food: The Weak Link</t>
  </si>
  <si>
    <r>
      <t xml:space="preserve">This is part of a supporting dataset for Lester R. Brown, </t>
    </r>
    <r>
      <rPr>
        <b/>
        <sz val="10"/>
        <rFont val="Arial"/>
        <family val="2"/>
      </rPr>
      <t>Full Planet, Empty Plates: The New Geopolitics of Food Scarcity</t>
    </r>
    <r>
      <rPr>
        <sz val="10"/>
        <rFont val="Arial"/>
        <family val="2"/>
      </rPr>
      <t xml:space="preserve"> (New York: W.W. Norton &amp; Company, 2012). For more information, see Earth Policy Institute on-line at www.earth-policy.org.</t>
    </r>
  </si>
  <si>
    <t>Top 10 Importers of Corn, Wheat, Rice, and Total Grain, 2011</t>
  </si>
  <si>
    <t>Top 10 Exporters of Corn, Wheat, Rice, and Total Grain, 2011</t>
  </si>
  <si>
    <r>
      <t xml:space="preserve">Note: Index is based on 3 indicators: proportion of undernourished in the population, prevalence of underweight children under five years, and under five mortality rate. Data from the most recent year available is used to calculate index. Categories of index are </t>
    </r>
    <r>
      <rPr>
        <sz val="10"/>
        <color rgb="FF000000"/>
        <rFont val="Calibri"/>
        <family val="2"/>
      </rPr>
      <t>≤</t>
    </r>
    <r>
      <rPr>
        <sz val="10"/>
        <color rgb="FF000000"/>
        <rFont val="Arial"/>
        <family val="2"/>
      </rPr>
      <t xml:space="preserve"> 4.5 - low, 5 to 9.9 -moderate, 10 to 19.9 - serious, 20 to 29.9 - alarming, </t>
    </r>
    <r>
      <rPr>
        <sz val="10"/>
        <color rgb="FF000000"/>
        <rFont val="Calibri"/>
        <family val="2"/>
      </rPr>
      <t>≥</t>
    </r>
    <r>
      <rPr>
        <sz val="10"/>
        <color rgb="FF000000"/>
        <rFont val="Arial"/>
        <family val="2"/>
      </rPr>
      <t>30 - extremely alarming hunger.</t>
    </r>
  </si>
  <si>
    <t>Share of Underweight Children under Five Years</t>
  </si>
  <si>
    <t>(2005-2007)</t>
  </si>
  <si>
    <t>Share Undernourished People</t>
  </si>
  <si>
    <t>(2004-2009)</t>
  </si>
  <si>
    <t>(2009)</t>
  </si>
  <si>
    <t>(2011)</t>
  </si>
  <si>
    <t>Global Hunger Index</t>
  </si>
  <si>
    <t>Food Insecurity Indicators in World's Hungriest Countries</t>
  </si>
  <si>
    <t>GRAPH: World Grain Area Harvested, 1950-2011</t>
  </si>
  <si>
    <t>Grain Area Harvested Per Person in Selected Countries and the World in 1950 and 2010, with Projection to 2050</t>
  </si>
  <si>
    <t>Grain Area Harvested Per Person in Selected Countries and the World in 1950 and 2011, with Projection to 2050</t>
  </si>
  <si>
    <r>
      <t xml:space="preserve">Source: Compiled by Earth Policy Institute with 1950-59 from Worldwatch Institute, Signposts 2000, CD-Rom (Washington, DC: 2000); and with 1960-2011 from U.S. Department of Agriculture, </t>
    </r>
    <r>
      <rPr>
        <i/>
        <sz val="10"/>
        <rFont val="Arial"/>
        <family val="2"/>
      </rPr>
      <t>Production, Supply, &amp; Distribution</t>
    </r>
    <r>
      <rPr>
        <sz val="10"/>
        <color indexed="8"/>
        <rFont val="Arial"/>
        <family val="2"/>
      </rPr>
      <t xml:space="preserve">, electronic database, at www.fas.usda.gov/psdonline, updated 11 July 2012; population from U.N. Population Division, </t>
    </r>
    <r>
      <rPr>
        <i/>
        <sz val="10"/>
        <rFont val="Arial"/>
        <family val="2"/>
      </rPr>
      <t>World Population Prospects: The 2010 Revision,</t>
    </r>
    <r>
      <rPr>
        <sz val="10"/>
        <color indexed="8"/>
        <rFont val="Arial"/>
        <family val="2"/>
      </rPr>
      <t xml:space="preserve"> electronic database, at esa.un.org/unpd/wpp/index.htm, updated 3 May 2011.</t>
    </r>
  </si>
  <si>
    <r>
      <t xml:space="preserve">Source: Compiled by Earth Policy Institute with </t>
    </r>
    <r>
      <rPr>
        <sz val="10"/>
        <rFont val="Arial"/>
        <family val="2"/>
      </rPr>
      <t>;</t>
    </r>
    <r>
      <rPr>
        <i/>
        <sz val="10"/>
        <rFont val="Arial"/>
        <family val="2"/>
      </rPr>
      <t xml:space="preserve"> and with 1960-2011 from </t>
    </r>
    <r>
      <rPr>
        <sz val="10"/>
        <color indexed="8"/>
        <rFont val="Arial"/>
        <family val="2"/>
      </rPr>
      <t xml:space="preserve">U.S. Department of Agriculture, </t>
    </r>
    <r>
      <rPr>
        <i/>
        <sz val="10"/>
        <rFont val="Arial"/>
        <family val="2"/>
      </rPr>
      <t>Production, Supply, &amp; Distribution</t>
    </r>
    <r>
      <rPr>
        <sz val="10"/>
        <color indexed="8"/>
        <rFont val="Arial"/>
        <family val="2"/>
      </rPr>
      <t>, electronic database, at www.fas.usda.gov/psdonline, updated 11 July 2012.</t>
    </r>
  </si>
  <si>
    <r>
      <t xml:space="preserve">Source: Compiled by Earth Policy Institute with 1950-59 from Worldwatch Institute, </t>
    </r>
    <r>
      <rPr>
        <i/>
        <sz val="10"/>
        <rFont val="Arial"/>
        <family val="2"/>
      </rPr>
      <t>Signposts 2000</t>
    </r>
    <r>
      <rPr>
        <sz val="10"/>
        <rFont val="Arial"/>
        <family val="2"/>
      </rPr>
      <t xml:space="preserve">, CD-Rom (Washington, DC: 2000); 1960-2011 area from U.S. Department of Agriculture, </t>
    </r>
    <r>
      <rPr>
        <i/>
        <sz val="10"/>
        <rFont val="Arial"/>
        <family val="2"/>
      </rPr>
      <t>Production, Supply, &amp; Distribution</t>
    </r>
    <r>
      <rPr>
        <sz val="10"/>
        <color indexed="8"/>
        <rFont val="Arial"/>
        <family val="2"/>
      </rPr>
      <t xml:space="preserve">, electronic database, at www.fas.usda.gov/psdonline, updated 11 July 2012; and population from U.N. Population Division, </t>
    </r>
    <r>
      <rPr>
        <i/>
        <sz val="10"/>
        <rFont val="Arial"/>
        <family val="2"/>
      </rPr>
      <t>World Population Prospects: The 2010 Revision,</t>
    </r>
    <r>
      <rPr>
        <sz val="10"/>
        <color indexed="8"/>
        <rFont val="Arial"/>
        <family val="2"/>
      </rPr>
      <t xml:space="preserve"> electronic database, at esa.un.org/unpd/wpp/index.htm, updated 3 May 2011.</t>
    </r>
  </si>
  <si>
    <t>Tons Per Hectare</t>
  </si>
  <si>
    <t>European Union</t>
  </si>
  <si>
    <r>
      <t>Source: Compiled by Earth Policy Institute from U.N. World Food Programme, "Operations," at www.wfp.org/operations, viewed 16 August 2012; and from from Fund for Peace, "Failed States Index," at www.fundforpeace.org/web, updated 2012</t>
    </r>
    <r>
      <rPr>
        <sz val="10"/>
        <rFont val="Arial"/>
        <family val="2"/>
      </rPr>
      <t>.</t>
    </r>
  </si>
  <si>
    <r>
      <t xml:space="preserve">Source: Compiled by Earth Policy Institute from Deutsche Welthungerhilfe, IFPRI, and Concern Worldwide, </t>
    </r>
    <r>
      <rPr>
        <i/>
        <sz val="10"/>
        <rFont val="Arial"/>
        <family val="2"/>
      </rPr>
      <t>2011 Global Hunger Index: The Challenge of Hunger: Taming Price Spikes and Excessive Food Price Volatility</t>
    </r>
    <r>
      <rPr>
        <sz val="10"/>
        <color rgb="FF000000"/>
        <rFont val="Arial"/>
        <family val="2"/>
      </rPr>
      <t xml:space="preserve"> (Bonn, Washington, DC, and Dublin: 2011), pp. 49-50.</t>
    </r>
  </si>
  <si>
    <r>
      <t xml:space="preserve">Source: Compiled by Earth Policy Institute with grain area for 1950 from U.S. Department of Agriculture (USDA), </t>
    </r>
    <r>
      <rPr>
        <i/>
        <sz val="10"/>
        <rFont val="Arial"/>
        <family val="2"/>
      </rPr>
      <t>Production, Supply and Distribution (PS&amp;D)</t>
    </r>
    <r>
      <rPr>
        <sz val="10"/>
        <rFont val="Arial"/>
        <family val="2"/>
      </rPr>
      <t xml:space="preserve">, Country Reports, October 1990; 2010 grain data for France and the United Kingdom from USDA, Foreign Agricultural Service, </t>
    </r>
    <r>
      <rPr>
        <i/>
        <sz val="10"/>
        <rFont val="Arial"/>
        <family val="2"/>
      </rPr>
      <t>World Agricultural Production</t>
    </r>
    <r>
      <rPr>
        <sz val="10"/>
        <rFont val="Arial"/>
        <family val="2"/>
      </rPr>
      <t xml:space="preserve"> (Washington, DC: 23 February 2012); all other 2010 grain data from USDA, </t>
    </r>
    <r>
      <rPr>
        <i/>
        <sz val="10"/>
        <rFont val="Arial"/>
        <family val="2"/>
      </rPr>
      <t>PS&amp;D</t>
    </r>
    <r>
      <rPr>
        <sz val="10"/>
        <rFont val="Arial"/>
        <family val="2"/>
      </rPr>
      <t xml:space="preserve">, electronic database, updated 11 September 2012; population data for 2010 and projection from U.N. Population Division, </t>
    </r>
    <r>
      <rPr>
        <i/>
        <sz val="10"/>
        <rFont val="Arial"/>
        <family val="2"/>
      </rPr>
      <t>World Population Prospects: The 2010 Revision Population Database</t>
    </r>
    <r>
      <rPr>
        <sz val="10"/>
        <rFont val="Arial"/>
        <family val="2"/>
      </rPr>
      <t>, electronic database, at esa.un.org/unpd/wpp/index.htm, updated 3 May 2011.</t>
    </r>
  </si>
  <si>
    <t>World Monthly Food Price Indices, January 1990 – August 2012</t>
  </si>
  <si>
    <t/>
  </si>
  <si>
    <t>Date</t>
  </si>
  <si>
    <t>Meat</t>
  </si>
  <si>
    <t>Dairy</t>
  </si>
  <si>
    <t>Oils</t>
  </si>
  <si>
    <t>Sugar</t>
  </si>
  <si>
    <t>Total Food</t>
  </si>
  <si>
    <t>2002-2004 = 100</t>
  </si>
  <si>
    <t>Source: Compiled by Earth Policy Institute from U.N. Food and Agriculture Organization, "FAO Food Price Index," at www.fao.org/worldfoodsituation/wfs-home/foodpricesindex/en, updated 6 September 2012.</t>
  </si>
  <si>
    <t>GRAPH: World Monthly Food Price Index, January 1990 - August 2012</t>
  </si>
  <si>
    <t>Grains</t>
  </si>
  <si>
    <t>GRAPH: World  Average Grain Yields, 1950-2011</t>
  </si>
  <si>
    <t>* According to Fund for Peace: "Though South Sudan has been included for the first time as the Index’s 178th country, it will not receive a formal rank for the 2012 Index as the data available since independence does not constitute a full year and thus cannot be accurately compared to the other 177 countries."</t>
  </si>
  <si>
    <t>South Sudan*</t>
  </si>
  <si>
    <r>
      <t xml:space="preserve">1 </t>
    </r>
    <r>
      <rPr>
        <sz val="10"/>
        <color indexed="8"/>
        <rFont val="Arial"/>
        <family val="2"/>
      </rPr>
      <t>Emergency Operations (EMOPs): WFP carries out EMOPs in countries hit by sudden disasters such as floods; by more gradually-occurring disasters such as drought or crop failure; or by civil unrest, conflict, displacement of large numbers of people, and/or influx of refugees. The typical duration for EMOPs is between three months and one year, but an EMOP can last up to two years.</t>
    </r>
  </si>
  <si>
    <t>Under Five Mortality</t>
  </si>
  <si>
    <t>GRAPH: World Monthly Grains Price Index, January 1990 - August 2012</t>
  </si>
  <si>
    <t>GRAPH: World Monthly Price Indices for Meat, Dairy, Grains, Oils, and Sugar, January 1990 - August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</si>
</sst>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3" formatCode="_(* #,##0.00_);_(* \(#,##0.00\);_(* &quot;-&quot;??_);_(@_)"/>
    <numFmt numFmtId="164" formatCode="0.0"/>
    <numFmt numFmtId="165" formatCode="0.000"/>
    <numFmt numFmtId="166" formatCode="yyyy"/>
    <numFmt numFmtId="167" formatCode="_(* #,##0_);_(* \(#,##0\);_(* &quot;-&quot;??_);_(@_)"/>
    <numFmt numFmtId="168" formatCode="0.0%"/>
    <numFmt numFmtId="169" formatCode="mmmm\ d\,\ yyyy"/>
    <numFmt numFmtId="170" formatCode="#,##0.0"/>
    <numFmt numFmtId="171" formatCode="0.0000000000000000"/>
    <numFmt numFmtId="172" formatCode="mmm\-yyyy"/>
    <numFmt numFmtId="173" formatCode="_-* #,##0.00_-;\-* #,##0.00_-;_-* &quot;-&quot;??_-;_-@_-"/>
    <numFmt numFmtId="174" formatCode="_(* #,##0.0_);_(* \(#,##0.0\);_(* &quot;-&quot;??_);_(@_)"/>
  </numFmts>
  <fonts count="73" x14ac:knownFonts="1">
    <font>
      <sz val="11"/>
      <color theme="1"/>
      <name val="Calibri"/>
      <family val="2"/>
      <scheme val="minor"/>
    </font>
    <font>
      <sz val="10"/>
      <name val="Arial"/>
      <family val="2"/>
    </font>
    <font>
      <sz val="10"/>
      <name val="Arial"/>
      <family val="2"/>
    </font>
    <font>
      <sz val="10"/>
      <name val="Arial"/>
      <family val="2"/>
    </font>
    <font>
      <sz val="10"/>
      <color indexed="8"/>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indexed="8"/>
      <name val="Arial"/>
      <family val="2"/>
    </font>
    <font>
      <i/>
      <sz val="10"/>
      <name val="Arial"/>
      <family val="2"/>
    </font>
    <font>
      <sz val="10"/>
      <name val="Arial"/>
      <family val="2"/>
    </font>
    <font>
      <b/>
      <sz val="10"/>
      <color indexed="8"/>
      <name val="Arial"/>
      <family val="2"/>
    </font>
    <font>
      <sz val="11"/>
      <color indexed="8"/>
      <name val="Arial"/>
      <family val="2"/>
    </font>
    <font>
      <sz val="11"/>
      <color indexed="9"/>
      <name val="Arial"/>
      <family val="2"/>
    </font>
    <font>
      <sz val="11"/>
      <color rgb="FF9C0006"/>
      <name val="Arial"/>
      <family val="2"/>
    </font>
    <font>
      <b/>
      <sz val="7"/>
      <name val="Arial"/>
      <family val="2"/>
    </font>
    <font>
      <sz val="7"/>
      <name val="Arial"/>
      <family val="2"/>
    </font>
    <font>
      <sz val="7"/>
      <color indexed="8"/>
      <name val="Arial"/>
      <family val="2"/>
    </font>
    <font>
      <sz val="6.5"/>
      <name val="Arial"/>
      <family val="2"/>
    </font>
    <font>
      <b/>
      <sz val="11"/>
      <color rgb="FFFA7D00"/>
      <name val="Arial"/>
      <family val="2"/>
    </font>
    <font>
      <b/>
      <sz val="11"/>
      <color indexed="9"/>
      <name val="Arial"/>
      <family val="2"/>
    </font>
    <font>
      <sz val="10"/>
      <color indexed="8"/>
      <name val="Verdana"/>
      <family val="2"/>
    </font>
    <font>
      <i/>
      <sz val="10"/>
      <color indexed="8"/>
      <name val="Verdana"/>
      <family val="2"/>
    </font>
    <font>
      <sz val="10"/>
      <color indexed="54"/>
      <name val="Verdana"/>
      <family val="2"/>
    </font>
    <font>
      <b/>
      <sz val="10"/>
      <color indexed="8"/>
      <name val="Verdana"/>
      <family val="2"/>
    </font>
    <font>
      <sz val="11"/>
      <color indexed="8"/>
      <name val="Arial"/>
      <family val="2"/>
    </font>
    <font>
      <b/>
      <sz val="13"/>
      <color indexed="9"/>
      <name val="Verdana"/>
      <family val="2"/>
    </font>
    <font>
      <sz val="10"/>
      <name val="Verdana"/>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b/>
      <sz val="10"/>
      <name val="Helv"/>
    </font>
    <font>
      <u/>
      <sz val="10"/>
      <color indexed="12"/>
      <name val="Arial"/>
      <family val="2"/>
    </font>
    <font>
      <sz val="11"/>
      <color rgb="FF3F3F76"/>
      <name val="Arial"/>
      <family val="2"/>
    </font>
    <font>
      <sz val="11"/>
      <color rgb="FFFA7D00"/>
      <name val="Arial"/>
      <family val="2"/>
    </font>
    <font>
      <sz val="11"/>
      <color rgb="FF9C6500"/>
      <name val="Arial"/>
      <family val="2"/>
    </font>
    <font>
      <sz val="11"/>
      <color indexed="8"/>
      <name val="Calibri"/>
      <family val="2"/>
    </font>
    <font>
      <b/>
      <sz val="11"/>
      <color rgb="FF3F3F3F"/>
      <name val="Arial"/>
      <family val="2"/>
    </font>
    <font>
      <b/>
      <sz val="14"/>
      <name val="Verdana"/>
      <family val="2"/>
    </font>
    <font>
      <b/>
      <sz val="26"/>
      <color indexed="63"/>
      <name val="Verdana"/>
      <family val="2"/>
    </font>
    <font>
      <sz val="16"/>
      <name val="Verdana"/>
      <family val="2"/>
    </font>
    <font>
      <sz val="8"/>
      <name val="Helv"/>
    </font>
    <font>
      <b/>
      <sz val="11"/>
      <color indexed="8"/>
      <name val="Arial"/>
      <family val="2"/>
    </font>
    <font>
      <sz val="11"/>
      <color indexed="10"/>
      <name val="Arial"/>
      <family val="2"/>
    </font>
    <font>
      <sz val="8"/>
      <color indexed="8"/>
      <name val="Verdana"/>
      <family val="2"/>
    </font>
    <font>
      <vertAlign val="superscript"/>
      <sz val="10"/>
      <name val="Arial"/>
      <family val="2"/>
    </font>
    <font>
      <sz val="10"/>
      <name val="Arial"/>
      <family val="2"/>
    </font>
    <font>
      <b/>
      <sz val="8"/>
      <color indexed="9"/>
      <name val="Lucida Sans"/>
      <family val="2"/>
    </font>
    <font>
      <sz val="8"/>
      <name val="Lucida Sans"/>
      <family val="2"/>
    </font>
    <font>
      <u/>
      <sz val="11"/>
      <color theme="10"/>
      <name val="Calibri"/>
      <family val="2"/>
      <scheme val="minor"/>
    </font>
    <font>
      <sz val="8"/>
      <name val="Verdana"/>
      <family val="2"/>
    </font>
    <font>
      <u/>
      <sz val="10"/>
      <color theme="10"/>
      <name val="Arial"/>
      <family val="2"/>
    </font>
    <font>
      <sz val="10"/>
      <color theme="1"/>
      <name val="Arial"/>
      <family val="2"/>
    </font>
    <font>
      <sz val="10"/>
      <color rgb="FF000000"/>
      <name val="Arial"/>
      <family val="2"/>
    </font>
    <font>
      <sz val="10"/>
      <color rgb="FF000000"/>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42"/>
        <bgColor indexed="64"/>
      </patternFill>
    </fill>
    <fill>
      <patternFill patternType="solid">
        <fgColor indexed="22"/>
        <bgColor indexed="9"/>
      </patternFill>
    </fill>
    <fill>
      <patternFill patternType="solid">
        <fgColor indexed="55"/>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5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s>
  <cellStyleXfs count="179">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6" fillId="0" borderId="0"/>
    <xf numFmtId="166" fontId="26" fillId="0" borderId="0" applyFill="0" applyBorder="0" applyAlignment="0" applyProtection="0">
      <alignment wrapText="1"/>
    </xf>
    <xf numFmtId="43" fontId="6" fillId="0" borderId="0" applyFont="0" applyFill="0" applyBorder="0" applyAlignment="0" applyProtection="0"/>
    <xf numFmtId="0" fontId="24" fillId="0" borderId="0"/>
    <xf numFmtId="0" fontId="6" fillId="0" borderId="0"/>
    <xf numFmtId="0" fontId="28" fillId="10" borderId="0" applyNumberFormat="0" applyBorder="0" applyAlignment="0" applyProtection="0"/>
    <xf numFmtId="0" fontId="6" fillId="10" borderId="0" applyNumberFormat="0" applyBorder="0" applyAlignment="0" applyProtection="0"/>
    <xf numFmtId="0" fontId="28" fillId="14" borderId="0" applyNumberFormat="0" applyBorder="0" applyAlignment="0" applyProtection="0"/>
    <xf numFmtId="0" fontId="6" fillId="14" borderId="0" applyNumberFormat="0" applyBorder="0" applyAlignment="0" applyProtection="0"/>
    <xf numFmtId="0" fontId="28" fillId="18" borderId="0" applyNumberFormat="0" applyBorder="0" applyAlignment="0" applyProtection="0"/>
    <xf numFmtId="0" fontId="6" fillId="18" borderId="0" applyNumberFormat="0" applyBorder="0" applyAlignment="0" applyProtection="0"/>
    <xf numFmtId="0" fontId="28" fillId="22" borderId="0" applyNumberFormat="0" applyBorder="0" applyAlignment="0" applyProtection="0"/>
    <xf numFmtId="0" fontId="6" fillId="22" borderId="0" applyNumberFormat="0" applyBorder="0" applyAlignment="0" applyProtection="0"/>
    <xf numFmtId="0" fontId="28" fillId="26" borderId="0" applyNumberFormat="0" applyBorder="0" applyAlignment="0" applyProtection="0"/>
    <xf numFmtId="0" fontId="6" fillId="26" borderId="0" applyNumberFormat="0" applyBorder="0" applyAlignment="0" applyProtection="0"/>
    <xf numFmtId="0" fontId="28" fillId="30" borderId="0" applyNumberFormat="0" applyBorder="0" applyAlignment="0" applyProtection="0"/>
    <xf numFmtId="0" fontId="6" fillId="30" borderId="0" applyNumberFormat="0" applyBorder="0" applyAlignment="0" applyProtection="0"/>
    <xf numFmtId="0" fontId="28" fillId="11" borderId="0" applyNumberFormat="0" applyBorder="0" applyAlignment="0" applyProtection="0"/>
    <xf numFmtId="0" fontId="6" fillId="11" borderId="0" applyNumberFormat="0" applyBorder="0" applyAlignment="0" applyProtection="0"/>
    <xf numFmtId="0" fontId="28" fillId="15" borderId="0" applyNumberFormat="0" applyBorder="0" applyAlignment="0" applyProtection="0"/>
    <xf numFmtId="0" fontId="6" fillId="15" borderId="0" applyNumberFormat="0" applyBorder="0" applyAlignment="0" applyProtection="0"/>
    <xf numFmtId="0" fontId="28" fillId="19" borderId="0" applyNumberFormat="0" applyBorder="0" applyAlignment="0" applyProtection="0"/>
    <xf numFmtId="0" fontId="6" fillId="19" borderId="0" applyNumberFormat="0" applyBorder="0" applyAlignment="0" applyProtection="0"/>
    <xf numFmtId="0" fontId="28" fillId="23" borderId="0" applyNumberFormat="0" applyBorder="0" applyAlignment="0" applyProtection="0"/>
    <xf numFmtId="0" fontId="6" fillId="23" borderId="0" applyNumberFormat="0" applyBorder="0" applyAlignment="0" applyProtection="0"/>
    <xf numFmtId="0" fontId="28" fillId="27" borderId="0" applyNumberFormat="0" applyBorder="0" applyAlignment="0" applyProtection="0"/>
    <xf numFmtId="0" fontId="6" fillId="27" borderId="0" applyNumberFormat="0" applyBorder="0" applyAlignment="0" applyProtection="0"/>
    <xf numFmtId="0" fontId="28" fillId="31" borderId="0" applyNumberFormat="0" applyBorder="0" applyAlignment="0" applyProtection="0"/>
    <xf numFmtId="0" fontId="6" fillId="31" borderId="0" applyNumberFormat="0" applyBorder="0" applyAlignment="0" applyProtection="0"/>
    <xf numFmtId="0" fontId="29" fillId="12" borderId="0" applyNumberFormat="0" applyBorder="0" applyAlignment="0" applyProtection="0"/>
    <xf numFmtId="0" fontId="22" fillId="12" borderId="0" applyNumberFormat="0" applyBorder="0" applyAlignment="0" applyProtection="0"/>
    <xf numFmtId="0" fontId="29" fillId="16" borderId="0" applyNumberFormat="0" applyBorder="0" applyAlignment="0" applyProtection="0"/>
    <xf numFmtId="0" fontId="22" fillId="16" borderId="0" applyNumberFormat="0" applyBorder="0" applyAlignment="0" applyProtection="0"/>
    <xf numFmtId="0" fontId="29" fillId="20" borderId="0" applyNumberFormat="0" applyBorder="0" applyAlignment="0" applyProtection="0"/>
    <xf numFmtId="0" fontId="22" fillId="20" borderId="0" applyNumberFormat="0" applyBorder="0" applyAlignment="0" applyProtection="0"/>
    <xf numFmtId="0" fontId="29" fillId="24" borderId="0" applyNumberFormat="0" applyBorder="0" applyAlignment="0" applyProtection="0"/>
    <xf numFmtId="0" fontId="22" fillId="24" borderId="0" applyNumberFormat="0" applyBorder="0" applyAlignment="0" applyProtection="0"/>
    <xf numFmtId="0" fontId="29" fillId="28" borderId="0" applyNumberFormat="0" applyBorder="0" applyAlignment="0" applyProtection="0"/>
    <xf numFmtId="0" fontId="22" fillId="28" borderId="0" applyNumberFormat="0" applyBorder="0" applyAlignment="0" applyProtection="0"/>
    <xf numFmtId="0" fontId="29" fillId="32" borderId="0" applyNumberFormat="0" applyBorder="0" applyAlignment="0" applyProtection="0"/>
    <xf numFmtId="0" fontId="22" fillId="32" borderId="0" applyNumberFormat="0" applyBorder="0" applyAlignment="0" applyProtection="0"/>
    <xf numFmtId="0" fontId="29" fillId="9" borderId="0" applyNumberFormat="0" applyBorder="0" applyAlignment="0" applyProtection="0"/>
    <xf numFmtId="0" fontId="22" fillId="9" borderId="0" applyNumberFormat="0" applyBorder="0" applyAlignment="0" applyProtection="0"/>
    <xf numFmtId="0" fontId="29" fillId="13" borderId="0" applyNumberFormat="0" applyBorder="0" applyAlignment="0" applyProtection="0"/>
    <xf numFmtId="0" fontId="22" fillId="13" borderId="0" applyNumberFormat="0" applyBorder="0" applyAlignment="0" applyProtection="0"/>
    <xf numFmtId="0" fontId="29" fillId="17" borderId="0" applyNumberFormat="0" applyBorder="0" applyAlignment="0" applyProtection="0"/>
    <xf numFmtId="0" fontId="22" fillId="17" borderId="0" applyNumberFormat="0" applyBorder="0" applyAlignment="0" applyProtection="0"/>
    <xf numFmtId="0" fontId="29" fillId="21" borderId="0" applyNumberFormat="0" applyBorder="0" applyAlignment="0" applyProtection="0"/>
    <xf numFmtId="0" fontId="22" fillId="21" borderId="0" applyNumberFormat="0" applyBorder="0" applyAlignment="0" applyProtection="0"/>
    <xf numFmtId="0" fontId="29" fillId="25" borderId="0" applyNumberFormat="0" applyBorder="0" applyAlignment="0" applyProtection="0"/>
    <xf numFmtId="0" fontId="22" fillId="25" borderId="0" applyNumberFormat="0" applyBorder="0" applyAlignment="0" applyProtection="0"/>
    <xf numFmtId="0" fontId="29" fillId="29" borderId="0" applyNumberFormat="0" applyBorder="0" applyAlignment="0" applyProtection="0"/>
    <xf numFmtId="0" fontId="22" fillId="29" borderId="0" applyNumberFormat="0" applyBorder="0" applyAlignment="0" applyProtection="0"/>
    <xf numFmtId="0" fontId="30" fillId="3" borderId="0" applyNumberFormat="0" applyBorder="0" applyAlignment="0" applyProtection="0"/>
    <xf numFmtId="0" fontId="12" fillId="3" borderId="0" applyNumberFormat="0" applyBorder="0" applyAlignment="0" applyProtection="0"/>
    <xf numFmtId="0" fontId="31" fillId="0" borderId="16" applyNumberFormat="0" applyAlignment="0"/>
    <xf numFmtId="0" fontId="32" fillId="0" borderId="0" applyAlignment="0">
      <alignment horizontal="left"/>
    </xf>
    <xf numFmtId="0" fontId="32" fillId="0" borderId="0">
      <alignment horizontal="right"/>
    </xf>
    <xf numFmtId="168" fontId="32" fillId="0" borderId="0">
      <alignment horizontal="right"/>
    </xf>
    <xf numFmtId="164" fontId="33" fillId="0" borderId="0">
      <alignment horizontal="right"/>
    </xf>
    <xf numFmtId="0" fontId="34" fillId="0" borderId="0"/>
    <xf numFmtId="0" fontId="35" fillId="6" borderId="4" applyNumberFormat="0" applyAlignment="0" applyProtection="0"/>
    <xf numFmtId="0" fontId="16" fillId="6" borderId="4" applyNumberFormat="0" applyAlignment="0" applyProtection="0"/>
    <xf numFmtId="0" fontId="36" fillId="7" borderId="7" applyNumberFormat="0" applyAlignment="0" applyProtection="0"/>
    <xf numFmtId="0" fontId="18" fillId="7" borderId="7" applyNumberFormat="0" applyAlignment="0" applyProtection="0"/>
    <xf numFmtId="3" fontId="37" fillId="33" borderId="17">
      <alignment horizontal="right" vertical="center" indent="1"/>
    </xf>
    <xf numFmtId="3" fontId="38" fillId="33" borderId="17">
      <alignment horizontal="right" vertical="center" indent="1"/>
    </xf>
    <xf numFmtId="0" fontId="39" fillId="33" borderId="17">
      <alignment horizontal="left" vertical="center" indent="1"/>
    </xf>
    <xf numFmtId="0" fontId="40" fillId="34" borderId="17">
      <alignment horizontal="center" vertical="center"/>
    </xf>
    <xf numFmtId="3" fontId="37" fillId="33" borderId="17">
      <alignment horizontal="right" vertical="center" indent="1"/>
    </xf>
    <xf numFmtId="0" fontId="26" fillId="33" borderId="0"/>
    <xf numFmtId="3" fontId="38" fillId="33" borderId="17">
      <alignment horizontal="right" vertical="center" indent="1"/>
    </xf>
    <xf numFmtId="0" fontId="41" fillId="33" borderId="18"/>
    <xf numFmtId="0" fontId="42" fillId="35" borderId="17">
      <alignment horizontal="left" vertical="center" indent="1"/>
    </xf>
    <xf numFmtId="0" fontId="39" fillId="33" borderId="17">
      <alignment horizontal="left" vertical="center" indent="1"/>
    </xf>
    <xf numFmtId="43" fontId="26" fillId="0" borderId="0" applyFont="0" applyFill="0" applyBorder="0" applyAlignment="0" applyProtection="0"/>
    <xf numFmtId="43" fontId="26" fillId="0" borderId="0" applyFont="0" applyFill="0" applyBorder="0" applyAlignment="0" applyProtection="0"/>
    <xf numFmtId="3" fontId="26" fillId="0" borderId="0" applyFill="0" applyBorder="0" applyAlignment="0" applyProtection="0"/>
    <xf numFmtId="0" fontId="26" fillId="0" borderId="0"/>
    <xf numFmtId="5" fontId="26" fillId="0" borderId="0" applyFill="0" applyBorder="0" applyAlignment="0" applyProtection="0"/>
    <xf numFmtId="164" fontId="43" fillId="36" borderId="19" applyAlignment="0">
      <alignment horizontal="center"/>
    </xf>
    <xf numFmtId="169" fontId="26" fillId="0" borderId="0" applyFill="0" applyBorder="0" applyAlignment="0" applyProtection="0"/>
    <xf numFmtId="0" fontId="44" fillId="0" borderId="0" applyNumberFormat="0" applyFill="0" applyBorder="0" applyAlignment="0" applyProtection="0"/>
    <xf numFmtId="0" fontId="20" fillId="0" borderId="0" applyNumberFormat="0" applyFill="0" applyBorder="0" applyAlignment="0" applyProtection="0"/>
    <xf numFmtId="2" fontId="26" fillId="0" borderId="0" applyFill="0" applyBorder="0" applyAlignment="0" applyProtection="0"/>
    <xf numFmtId="0" fontId="45" fillId="2" borderId="0" applyNumberFormat="0" applyBorder="0" applyAlignment="0" applyProtection="0"/>
    <xf numFmtId="0" fontId="11" fillId="2" borderId="0" applyNumberFormat="0" applyBorder="0" applyAlignment="0" applyProtection="0"/>
    <xf numFmtId="0" fontId="46" fillId="0" borderId="1" applyNumberFormat="0" applyFill="0" applyAlignment="0" applyProtection="0"/>
    <xf numFmtId="0" fontId="8" fillId="0" borderId="1" applyNumberFormat="0" applyFill="0" applyAlignment="0" applyProtection="0"/>
    <xf numFmtId="0" fontId="47" fillId="0" borderId="2" applyNumberFormat="0" applyFill="0" applyAlignment="0" applyProtection="0"/>
    <xf numFmtId="0" fontId="9" fillId="0" borderId="2" applyNumberFormat="0" applyFill="0" applyAlignment="0" applyProtection="0"/>
    <xf numFmtId="0" fontId="48" fillId="0" borderId="3" applyNumberFormat="0" applyFill="0" applyAlignment="0" applyProtection="0"/>
    <xf numFmtId="0" fontId="10" fillId="0" borderId="3" applyNumberFormat="0" applyFill="0" applyAlignment="0" applyProtection="0"/>
    <xf numFmtId="0" fontId="48" fillId="0" borderId="0" applyNumberFormat="0" applyFill="0" applyBorder="0" applyAlignment="0" applyProtection="0"/>
    <xf numFmtId="0" fontId="10" fillId="0" borderId="0" applyNumberFormat="0" applyFill="0" applyBorder="0" applyAlignment="0" applyProtection="0"/>
    <xf numFmtId="0" fontId="49" fillId="37" borderId="0">
      <alignment horizontal="centerContinuous" wrapText="1"/>
    </xf>
    <xf numFmtId="0" fontId="50" fillId="0" borderId="0" applyNumberFormat="0" applyFill="0" applyBorder="0" applyAlignment="0" applyProtection="0">
      <alignment vertical="top"/>
      <protection locked="0"/>
    </xf>
    <xf numFmtId="0" fontId="51" fillId="5" borderId="4" applyNumberFormat="0" applyAlignment="0" applyProtection="0"/>
    <xf numFmtId="0" fontId="14" fillId="5" borderId="4" applyNumberFormat="0" applyAlignment="0" applyProtection="0"/>
    <xf numFmtId="0" fontId="52" fillId="0" borderId="6" applyNumberFormat="0" applyFill="0" applyAlignment="0" applyProtection="0"/>
    <xf numFmtId="0" fontId="17" fillId="0" borderId="6" applyNumberFormat="0" applyFill="0" applyAlignment="0" applyProtection="0"/>
    <xf numFmtId="0" fontId="53" fillId="4" borderId="0" applyNumberFormat="0" applyBorder="0" applyAlignment="0" applyProtection="0"/>
    <xf numFmtId="0" fontId="13" fillId="4" borderId="0" applyNumberFormat="0" applyBorder="0" applyAlignment="0" applyProtection="0"/>
    <xf numFmtId="0" fontId="54" fillId="0" borderId="0"/>
    <xf numFmtId="0" fontId="5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6" fillId="0" borderId="0"/>
    <xf numFmtId="0" fontId="28" fillId="8" borderId="8" applyNumberFormat="0" applyFont="0" applyAlignment="0" applyProtection="0"/>
    <xf numFmtId="0" fontId="6" fillId="8" borderId="8" applyNumberFormat="0" applyFont="0" applyAlignment="0" applyProtection="0"/>
    <xf numFmtId="0" fontId="55" fillId="6" borderId="5" applyNumberFormat="0" applyAlignment="0" applyProtection="0"/>
    <xf numFmtId="0" fontId="15" fillId="6" borderId="5" applyNumberFormat="0" applyAlignment="0" applyProtection="0"/>
    <xf numFmtId="9" fontId="26" fillId="0" borderId="0" applyFont="0" applyFill="0" applyBorder="0" applyAlignment="0" applyProtection="0"/>
    <xf numFmtId="0" fontId="56" fillId="0" borderId="0" applyNumberFormat="0" applyBorder="0" applyAlignment="0">
      <alignment horizontal="left" vertical="center"/>
    </xf>
    <xf numFmtId="0" fontId="57" fillId="38" borderId="0">
      <alignment horizontal="left" vertical="center"/>
    </xf>
    <xf numFmtId="0" fontId="58" fillId="0" borderId="10">
      <alignment horizontal="left" vertical="center"/>
    </xf>
    <xf numFmtId="0" fontId="59" fillId="0" borderId="0">
      <alignment horizontal="left"/>
    </xf>
    <xf numFmtId="0" fontId="26" fillId="0" borderId="0"/>
    <xf numFmtId="0" fontId="60" fillId="0" borderId="9" applyNumberFormat="0" applyFill="0" applyAlignment="0" applyProtection="0"/>
    <xf numFmtId="0" fontId="21" fillId="0" borderId="9" applyNumberFormat="0" applyFill="0" applyAlignment="0" applyProtection="0"/>
    <xf numFmtId="0" fontId="61" fillId="0" borderId="0" applyNumberFormat="0" applyFill="0" applyBorder="0" applyAlignment="0" applyProtection="0"/>
    <xf numFmtId="0" fontId="19" fillId="0" borderId="0" applyNumberFormat="0" applyFill="0" applyBorder="0" applyAlignment="0" applyProtection="0"/>
    <xf numFmtId="0" fontId="64" fillId="0" borderId="0"/>
    <xf numFmtId="0" fontId="67" fillId="0" borderId="0" applyNumberFormat="0" applyFill="0" applyBorder="0" applyAlignment="0" applyProtection="0"/>
    <xf numFmtId="0" fontId="5" fillId="0" borderId="0"/>
    <xf numFmtId="0" fontId="3" fillId="0" borderId="0"/>
    <xf numFmtId="0" fontId="2" fillId="0" borderId="0"/>
    <xf numFmtId="0" fontId="1" fillId="0" borderId="0"/>
    <xf numFmtId="0" fontId="1" fillId="0" borderId="0"/>
  </cellStyleXfs>
  <cellXfs count="296">
    <xf numFmtId="0" fontId="0" fillId="0" borderId="0" xfId="0"/>
    <xf numFmtId="0" fontId="24" fillId="0" borderId="0" xfId="0" applyFont="1"/>
    <xf numFmtId="164" fontId="24" fillId="0" borderId="0" xfId="0" applyNumberFormat="1" applyFont="1"/>
    <xf numFmtId="165" fontId="24" fillId="0" borderId="0" xfId="0" applyNumberFormat="1" applyFont="1"/>
    <xf numFmtId="0" fontId="24" fillId="0" borderId="0" xfId="0" applyFont="1" applyAlignment="1">
      <alignment wrapText="1"/>
    </xf>
    <xf numFmtId="1" fontId="27" fillId="0" borderId="0" xfId="0" applyNumberFormat="1" applyFont="1"/>
    <xf numFmtId="0" fontId="26" fillId="0" borderId="0" xfId="42"/>
    <xf numFmtId="0" fontId="26" fillId="0" borderId="0" xfId="42" applyAlignment="1">
      <alignment horizontal="right"/>
    </xf>
    <xf numFmtId="1" fontId="26" fillId="0" borderId="0" xfId="42" applyNumberFormat="1" applyBorder="1" applyAlignment="1">
      <alignment horizontal="right"/>
    </xf>
    <xf numFmtId="0" fontId="26" fillId="0" borderId="0" xfId="42" applyBorder="1" applyAlignment="1">
      <alignment wrapText="1"/>
    </xf>
    <xf numFmtId="0" fontId="26" fillId="0" borderId="0" xfId="42" applyBorder="1" applyAlignment="1">
      <alignment horizontal="right"/>
    </xf>
    <xf numFmtId="0" fontId="26" fillId="0" borderId="0" xfId="42" applyBorder="1"/>
    <xf numFmtId="2" fontId="26" fillId="0" borderId="0" xfId="42" applyNumberFormat="1" applyBorder="1" applyAlignment="1">
      <alignment horizontal="right"/>
    </xf>
    <xf numFmtId="2" fontId="26" fillId="0" borderId="0" xfId="42" applyNumberFormat="1" applyBorder="1"/>
    <xf numFmtId="0" fontId="26" fillId="0" borderId="0" xfId="42" applyFill="1" applyBorder="1"/>
    <xf numFmtId="3" fontId="26" fillId="0" borderId="0" xfId="42" applyNumberFormat="1" applyBorder="1" applyAlignment="1">
      <alignment horizontal="right"/>
    </xf>
    <xf numFmtId="0" fontId="23" fillId="0" borderId="0" xfId="42" applyFont="1" applyBorder="1"/>
    <xf numFmtId="49" fontId="65" fillId="0" borderId="0" xfId="0" applyNumberFormat="1" applyFont="1" applyFill="1" applyBorder="1" applyAlignment="1">
      <alignment horizontal="center"/>
    </xf>
    <xf numFmtId="0" fontId="66" fillId="0" borderId="0" xfId="0" applyFont="1" applyFill="1" applyBorder="1" applyAlignment="1">
      <alignment horizontal="left"/>
    </xf>
    <xf numFmtId="0" fontId="24" fillId="0" borderId="0" xfId="0" applyFont="1" applyAlignment="1">
      <alignment wrapText="1"/>
    </xf>
    <xf numFmtId="0" fontId="5" fillId="0" borderId="0" xfId="0" applyFont="1" applyAlignment="1">
      <alignment horizontal="left" vertical="center"/>
    </xf>
    <xf numFmtId="0" fontId="23" fillId="0" borderId="0" xfId="0" applyFont="1" applyAlignment="1">
      <alignment horizontal="left" vertical="center"/>
    </xf>
    <xf numFmtId="0" fontId="23" fillId="0" borderId="0" xfId="0" applyFont="1" applyFill="1" applyBorder="1" applyAlignment="1">
      <alignment horizontal="left" vertical="center"/>
    </xf>
    <xf numFmtId="0" fontId="23" fillId="0" borderId="0" xfId="42" applyFont="1" applyBorder="1" applyAlignment="1">
      <alignment horizontal="left" vertical="center"/>
    </xf>
    <xf numFmtId="0" fontId="23" fillId="0" borderId="0" xfId="42" applyFont="1" applyAlignment="1">
      <alignment horizontal="left" vertical="center"/>
    </xf>
    <xf numFmtId="0" fontId="23" fillId="0" borderId="0" xfId="0" applyFont="1" applyFill="1" applyAlignment="1">
      <alignment horizontal="left" vertical="center"/>
    </xf>
    <xf numFmtId="3" fontId="24" fillId="0" borderId="0" xfId="0" applyNumberFormat="1" applyFont="1" applyAlignment="1">
      <alignment vertical="center"/>
    </xf>
    <xf numFmtId="0" fontId="0" fillId="0" borderId="0" xfId="0" applyAlignment="1">
      <alignment vertical="center"/>
    </xf>
    <xf numFmtId="0" fontId="64" fillId="0" borderId="17" xfId="0" applyFont="1" applyFill="1" applyBorder="1" applyAlignment="1">
      <alignment vertical="center"/>
    </xf>
    <xf numFmtId="2" fontId="26" fillId="0" borderId="0" xfId="42" applyNumberFormat="1" applyBorder="1" applyAlignment="1">
      <alignment vertical="center"/>
    </xf>
    <xf numFmtId="1" fontId="24" fillId="0" borderId="0" xfId="0" applyNumberFormat="1" applyFont="1" applyAlignment="1">
      <alignment vertical="center"/>
    </xf>
    <xf numFmtId="0" fontId="26" fillId="0" borderId="0" xfId="42" applyFont="1" applyAlignment="1">
      <alignment vertical="center"/>
    </xf>
    <xf numFmtId="0" fontId="26" fillId="0" borderId="0" xfId="42" applyFont="1" applyFill="1" applyBorder="1" applyAlignment="1">
      <alignment vertical="center"/>
    </xf>
    <xf numFmtId="4" fontId="24" fillId="0" borderId="0" xfId="0" applyNumberFormat="1" applyFont="1" applyFill="1" applyAlignment="1">
      <alignment vertical="center"/>
    </xf>
    <xf numFmtId="167" fontId="24" fillId="0" borderId="0" xfId="44" applyNumberFormat="1" applyFont="1" applyFill="1" applyAlignment="1">
      <alignment vertical="center"/>
    </xf>
    <xf numFmtId="167" fontId="24" fillId="0" borderId="0" xfId="44" applyNumberFormat="1" applyFont="1" applyAlignment="1">
      <alignment vertical="center"/>
    </xf>
    <xf numFmtId="3" fontId="24" fillId="0" borderId="0" xfId="0" applyNumberFormat="1" applyFont="1" applyFill="1" applyAlignment="1">
      <alignment vertical="center"/>
    </xf>
    <xf numFmtId="0" fontId="0" fillId="0" borderId="0" xfId="0" applyAlignment="1">
      <alignment horizontal="left" vertical="center"/>
    </xf>
    <xf numFmtId="0" fontId="24" fillId="0" borderId="10"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1" fontId="24" fillId="0" borderId="0" xfId="0" applyNumberFormat="1" applyFont="1" applyAlignment="1">
      <alignment horizontal="center" vertical="center"/>
    </xf>
    <xf numFmtId="3" fontId="24" fillId="0" borderId="10" xfId="0" applyNumberFormat="1" applyFont="1" applyBorder="1" applyAlignment="1">
      <alignment vertical="center"/>
    </xf>
    <xf numFmtId="1" fontId="24" fillId="0" borderId="10" xfId="0" applyNumberFormat="1" applyFont="1" applyBorder="1" applyAlignment="1">
      <alignment vertical="center"/>
    </xf>
    <xf numFmtId="0" fontId="24" fillId="0" borderId="0" xfId="0" applyFont="1" applyAlignment="1">
      <alignment vertical="center" wrapText="1"/>
    </xf>
    <xf numFmtId="0" fontId="4" fillId="0" borderId="0" xfId="0" applyFont="1" applyAlignment="1">
      <alignment vertical="center"/>
    </xf>
    <xf numFmtId="0" fontId="5" fillId="0" borderId="0" xfId="0" applyFont="1" applyFill="1" applyBorder="1" applyAlignment="1">
      <alignment horizontal="left" vertical="center"/>
    </xf>
    <xf numFmtId="0" fontId="26" fillId="0" borderId="0" xfId="0" applyFont="1" applyFill="1" applyBorder="1" applyAlignment="1">
      <alignment horizontal="right" vertical="center"/>
    </xf>
    <xf numFmtId="0" fontId="26" fillId="0" borderId="0" xfId="0" applyFont="1" applyFill="1" applyBorder="1" applyAlignment="1">
      <alignment vertical="center"/>
    </xf>
    <xf numFmtId="0" fontId="26" fillId="0" borderId="10" xfId="0" applyFont="1" applyFill="1" applyBorder="1" applyAlignment="1">
      <alignment horizontal="left" vertical="center"/>
    </xf>
    <xf numFmtId="0" fontId="26" fillId="0" borderId="10" xfId="0" applyFont="1" applyFill="1" applyBorder="1" applyAlignment="1">
      <alignment horizontal="right" vertical="center"/>
    </xf>
    <xf numFmtId="0" fontId="26" fillId="0" borderId="0" xfId="0" applyFont="1" applyFill="1" applyBorder="1" applyAlignment="1">
      <alignment horizontal="left" vertical="center"/>
    </xf>
    <xf numFmtId="0" fontId="24" fillId="0" borderId="0" xfId="0" applyFont="1" applyAlignment="1">
      <alignment vertical="center"/>
    </xf>
    <xf numFmtId="0" fontId="64" fillId="0" borderId="0" xfId="0" applyFont="1" applyFill="1" applyBorder="1" applyAlignment="1">
      <alignment vertical="center"/>
    </xf>
    <xf numFmtId="0" fontId="64" fillId="0" borderId="17" xfId="0" applyFont="1" applyFill="1" applyBorder="1" applyAlignment="1">
      <alignment horizontal="center" vertical="center"/>
    </xf>
    <xf numFmtId="0" fontId="26" fillId="0" borderId="17" xfId="0" applyFont="1" applyFill="1" applyBorder="1" applyAlignment="1">
      <alignment horizontal="center" vertical="center"/>
    </xf>
    <xf numFmtId="0" fontId="23" fillId="0" borderId="0" xfId="42" applyFont="1" applyBorder="1" applyAlignment="1">
      <alignment vertical="center"/>
    </xf>
    <xf numFmtId="0" fontId="23" fillId="0" borderId="0" xfId="42" applyFont="1" applyBorder="1" applyAlignment="1">
      <alignment vertical="center" wrapText="1"/>
    </xf>
    <xf numFmtId="0" fontId="26" fillId="0" borderId="0" xfId="42" applyBorder="1" applyAlignment="1">
      <alignment vertical="center" wrapText="1"/>
    </xf>
    <xf numFmtId="0" fontId="26" fillId="0" borderId="0" xfId="42" applyBorder="1" applyAlignment="1">
      <alignment vertical="center"/>
    </xf>
    <xf numFmtId="0" fontId="26" fillId="0" borderId="10" xfId="42" applyBorder="1" applyAlignment="1">
      <alignment vertical="center"/>
    </xf>
    <xf numFmtId="0" fontId="26" fillId="0" borderId="10" xfId="42" applyBorder="1" applyAlignment="1">
      <alignment horizontal="right" vertical="center"/>
    </xf>
    <xf numFmtId="2" fontId="26" fillId="0" borderId="0" xfId="42" applyNumberFormat="1" applyBorder="1" applyAlignment="1">
      <alignment horizontal="center" vertical="center"/>
    </xf>
    <xf numFmtId="2" fontId="26" fillId="0" borderId="0" xfId="42" applyNumberFormat="1" applyBorder="1" applyAlignment="1">
      <alignment horizontal="right" vertical="center"/>
    </xf>
    <xf numFmtId="0" fontId="26" fillId="0" borderId="0" xfId="42" applyFill="1" applyBorder="1" applyAlignment="1">
      <alignment vertical="center"/>
    </xf>
    <xf numFmtId="2" fontId="26" fillId="0" borderId="0" xfId="42" applyNumberFormat="1" applyFill="1" applyBorder="1" applyAlignment="1">
      <alignment vertical="center"/>
    </xf>
    <xf numFmtId="0" fontId="23" fillId="0" borderId="10" xfId="42" applyFont="1" applyBorder="1" applyAlignment="1">
      <alignment vertical="center"/>
    </xf>
    <xf numFmtId="2" fontId="23" fillId="0" borderId="10" xfId="42" applyNumberFormat="1" applyFont="1" applyBorder="1" applyAlignment="1">
      <alignment vertical="center"/>
    </xf>
    <xf numFmtId="2" fontId="23" fillId="0" borderId="0" xfId="42" applyNumberFormat="1" applyFont="1" applyBorder="1" applyAlignment="1">
      <alignment vertical="center"/>
    </xf>
    <xf numFmtId="0" fontId="26" fillId="0" borderId="10" xfId="42" applyFont="1" applyBorder="1" applyAlignment="1">
      <alignment horizontal="center" vertical="center"/>
    </xf>
    <xf numFmtId="0" fontId="26" fillId="0" borderId="10" xfId="42" applyFont="1" applyBorder="1" applyAlignment="1">
      <alignment vertical="center"/>
    </xf>
    <xf numFmtId="0" fontId="26" fillId="0" borderId="14" xfId="42" applyFont="1" applyBorder="1" applyAlignment="1">
      <alignment horizontal="center" vertical="center"/>
    </xf>
    <xf numFmtId="0" fontId="24" fillId="0" borderId="0" xfId="0" applyFont="1" applyFill="1" applyBorder="1" applyAlignment="1">
      <alignment horizontal="left" vertical="center" wrapText="1"/>
    </xf>
    <xf numFmtId="164" fontId="26" fillId="0" borderId="0" xfId="42" applyNumberFormat="1" applyFont="1" applyAlignment="1">
      <alignment horizontal="center" vertical="center"/>
    </xf>
    <xf numFmtId="0" fontId="24" fillId="0" borderId="0" xfId="0" applyFont="1" applyBorder="1" applyAlignment="1">
      <alignment horizontal="left" vertical="center" wrapText="1"/>
    </xf>
    <xf numFmtId="164" fontId="26" fillId="0" borderId="13" xfId="42" applyNumberFormat="1" applyFont="1" applyBorder="1" applyAlignment="1">
      <alignment horizontal="center" vertical="center"/>
    </xf>
    <xf numFmtId="164" fontId="26" fillId="0" borderId="0" xfId="42" applyNumberFormat="1" applyFont="1" applyBorder="1" applyAlignment="1">
      <alignment horizontal="center" vertical="center"/>
    </xf>
    <xf numFmtId="0" fontId="26" fillId="0" borderId="0" xfId="0" applyFont="1" applyBorder="1" applyAlignment="1">
      <alignment horizontal="left" vertical="center" wrapText="1"/>
    </xf>
    <xf numFmtId="0" fontId="26" fillId="0" borderId="10" xfId="0" applyFont="1" applyBorder="1" applyAlignment="1">
      <alignment horizontal="left" vertical="center" wrapText="1"/>
    </xf>
    <xf numFmtId="164" fontId="26" fillId="0" borderId="10" xfId="42" applyNumberFormat="1" applyFont="1" applyBorder="1" applyAlignment="1">
      <alignment horizontal="center" vertical="center"/>
    </xf>
    <xf numFmtId="3" fontId="62" fillId="0" borderId="0" xfId="0" applyNumberFormat="1" applyFont="1" applyAlignment="1">
      <alignment vertical="center"/>
    </xf>
    <xf numFmtId="0" fontId="26" fillId="0" borderId="0" xfId="42" applyFont="1" applyFill="1" applyBorder="1" applyAlignment="1">
      <alignment horizontal="center"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0" xfId="0" applyFont="1" applyFill="1" applyAlignment="1">
      <alignment horizontal="left" vertical="center"/>
    </xf>
    <xf numFmtId="4" fontId="24" fillId="0" borderId="0" xfId="0" applyNumberFormat="1" applyFont="1" applyFill="1" applyBorder="1" applyAlignment="1">
      <alignment vertical="center"/>
    </xf>
    <xf numFmtId="2" fontId="24" fillId="0" borderId="0" xfId="0" applyNumberFormat="1" applyFont="1" applyFill="1" applyBorder="1" applyAlignment="1">
      <alignment vertical="center"/>
    </xf>
    <xf numFmtId="0" fontId="26" fillId="0" borderId="0" xfId="0" applyFont="1" applyFill="1" applyAlignment="1">
      <alignment horizontal="left" vertical="center"/>
    </xf>
    <xf numFmtId="4" fontId="24" fillId="0" borderId="10" xfId="0" applyNumberFormat="1" applyFont="1" applyFill="1" applyBorder="1" applyAlignment="1">
      <alignment vertical="center"/>
    </xf>
    <xf numFmtId="2" fontId="24" fillId="0" borderId="10" xfId="0" applyNumberFormat="1" applyFont="1" applyFill="1" applyBorder="1" applyAlignment="1">
      <alignment vertical="center"/>
    </xf>
    <xf numFmtId="167" fontId="24" fillId="0" borderId="0" xfId="44" applyNumberFormat="1" applyFont="1" applyFill="1" applyBorder="1" applyAlignment="1">
      <alignment horizontal="right" vertical="center" wrapText="1"/>
    </xf>
    <xf numFmtId="167" fontId="24" fillId="0" borderId="10" xfId="44" applyNumberFormat="1" applyFont="1" applyFill="1" applyBorder="1" applyAlignment="1">
      <alignment horizontal="right" vertical="center" wrapText="1"/>
    </xf>
    <xf numFmtId="0" fontId="26" fillId="0" borderId="10" xfId="42" applyFont="1" applyBorder="1" applyAlignment="1">
      <alignment horizontal="left" vertical="center"/>
    </xf>
    <xf numFmtId="0" fontId="26" fillId="0" borderId="0" xfId="42" applyFont="1" applyAlignment="1">
      <alignment horizontal="left" vertical="center"/>
    </xf>
    <xf numFmtId="167" fontId="24" fillId="0" borderId="10" xfId="44" applyNumberFormat="1" applyFont="1" applyFill="1" applyBorder="1" applyAlignment="1">
      <alignment vertical="center"/>
    </xf>
    <xf numFmtId="167" fontId="24" fillId="0" borderId="10" xfId="44" applyNumberFormat="1" applyFont="1" applyBorder="1" applyAlignment="1">
      <alignment vertical="center"/>
    </xf>
    <xf numFmtId="0" fontId="24" fillId="0" borderId="0" xfId="0" applyFont="1" applyAlignment="1">
      <alignment horizontal="right" vertical="center"/>
    </xf>
    <xf numFmtId="0" fontId="24" fillId="0" borderId="10" xfId="0" applyFont="1" applyBorder="1" applyAlignment="1">
      <alignment horizontal="right" vertical="center" wrapText="1"/>
    </xf>
    <xf numFmtId="0" fontId="24" fillId="0" borderId="10" xfId="0" applyFont="1" applyBorder="1" applyAlignment="1">
      <alignment horizontal="right" vertical="center"/>
    </xf>
    <xf numFmtId="0" fontId="26" fillId="0" borderId="11" xfId="0" applyFont="1" applyBorder="1" applyAlignment="1">
      <alignment horizontal="right" vertical="center"/>
    </xf>
    <xf numFmtId="0" fontId="24" fillId="0" borderId="0" xfId="0" applyFont="1" applyBorder="1" applyAlignment="1">
      <alignment horizontal="right" vertical="center"/>
    </xf>
    <xf numFmtId="0" fontId="26" fillId="0" borderId="0" xfId="0" applyFont="1" applyFill="1" applyAlignment="1" applyProtection="1">
      <alignment horizontal="right" vertical="center"/>
    </xf>
    <xf numFmtId="2" fontId="24" fillId="0" borderId="0" xfId="0" applyNumberFormat="1" applyFont="1" applyAlignment="1">
      <alignment horizontal="right" vertical="center"/>
    </xf>
    <xf numFmtId="0" fontId="26" fillId="0" borderId="0" xfId="0" applyFont="1" applyFill="1" applyBorder="1" applyAlignment="1" applyProtection="1">
      <alignment horizontal="right" vertical="center"/>
    </xf>
    <xf numFmtId="2" fontId="24" fillId="0" borderId="10" xfId="0" applyNumberFormat="1" applyFont="1" applyBorder="1" applyAlignment="1">
      <alignment horizontal="right" vertical="center"/>
    </xf>
    <xf numFmtId="167" fontId="0" fillId="0" borderId="0" xfId="44" applyNumberFormat="1" applyFont="1" applyAlignment="1">
      <alignment vertical="center"/>
    </xf>
    <xf numFmtId="1" fontId="24" fillId="0" borderId="0" xfId="0" applyNumberFormat="1" applyFont="1" applyBorder="1" applyAlignment="1">
      <alignment vertical="center"/>
    </xf>
    <xf numFmtId="3" fontId="24" fillId="0" borderId="10" xfId="0" applyNumberFormat="1" applyFont="1" applyFill="1" applyBorder="1" applyAlignment="1">
      <alignment vertical="center"/>
    </xf>
    <xf numFmtId="3" fontId="24" fillId="0" borderId="0" xfId="0" applyNumberFormat="1" applyFont="1" applyFill="1" applyBorder="1" applyAlignment="1">
      <alignment vertical="center"/>
    </xf>
    <xf numFmtId="0" fontId="24" fillId="0" borderId="0" xfId="0" applyFont="1" applyBorder="1" applyAlignment="1">
      <alignment vertical="center"/>
    </xf>
    <xf numFmtId="0" fontId="26" fillId="0" borderId="10" xfId="0" applyNumberFormat="1" applyFont="1" applyFill="1" applyBorder="1" applyAlignment="1">
      <alignment horizontal="right" vertical="center" wrapText="1"/>
    </xf>
    <xf numFmtId="0" fontId="26" fillId="0" borderId="11" xfId="0" applyFont="1" applyFill="1" applyBorder="1" applyAlignment="1">
      <alignment horizontal="right" vertical="center"/>
    </xf>
    <xf numFmtId="0" fontId="26" fillId="0" borderId="0" xfId="0" applyFont="1" applyFill="1" applyBorder="1" applyAlignment="1">
      <alignment horizontal="right" vertical="center" wrapText="1"/>
    </xf>
    <xf numFmtId="167" fontId="24" fillId="0" borderId="0" xfId="44" applyNumberFormat="1" applyFont="1" applyBorder="1" applyAlignment="1">
      <alignment vertical="center"/>
    </xf>
    <xf numFmtId="0" fontId="24" fillId="0" borderId="10" xfId="0" applyFont="1" applyFill="1" applyBorder="1" applyAlignment="1">
      <alignment horizontal="right" vertical="center"/>
    </xf>
    <xf numFmtId="0" fontId="24" fillId="0" borderId="11" xfId="0" applyFont="1" applyFill="1" applyBorder="1" applyAlignment="1">
      <alignment horizontal="right" vertical="center"/>
    </xf>
    <xf numFmtId="0" fontId="24" fillId="0" borderId="11" xfId="0" applyFont="1" applyBorder="1" applyAlignment="1">
      <alignment horizontal="right" vertical="center"/>
    </xf>
    <xf numFmtId="2" fontId="26" fillId="0" borderId="0" xfId="0" applyNumberFormat="1" applyFont="1" applyFill="1" applyAlignment="1" applyProtection="1">
      <alignment vertical="center"/>
    </xf>
    <xf numFmtId="2" fontId="26" fillId="0" borderId="0" xfId="0" applyNumberFormat="1" applyFont="1" applyFill="1" applyBorder="1" applyAlignment="1" applyProtection="1">
      <alignment vertical="center"/>
    </xf>
    <xf numFmtId="164" fontId="26" fillId="0" borderId="0" xfId="42" applyNumberFormat="1" applyFont="1" applyBorder="1" applyAlignment="1">
      <alignment horizontal="right" vertical="center"/>
    </xf>
    <xf numFmtId="164" fontId="26" fillId="0" borderId="10" xfId="42" applyNumberFormat="1" applyFont="1" applyBorder="1" applyAlignment="1">
      <alignment horizontal="right" vertical="center"/>
    </xf>
    <xf numFmtId="0" fontId="26" fillId="0" borderId="15" xfId="42" applyFont="1" applyBorder="1" applyAlignment="1">
      <alignment horizontal="center" vertical="center"/>
    </xf>
    <xf numFmtId="0" fontId="26" fillId="0" borderId="0" xfId="42" applyFont="1" applyBorder="1" applyAlignment="1">
      <alignment vertical="center"/>
    </xf>
    <xf numFmtId="0" fontId="26" fillId="0" borderId="0" xfId="42" applyFont="1" applyBorder="1" applyAlignment="1">
      <alignment horizontal="left" vertical="center"/>
    </xf>
    <xf numFmtId="164" fontId="26" fillId="0" borderId="15" xfId="42" applyNumberFormat="1" applyFont="1" applyBorder="1" applyAlignment="1">
      <alignment horizontal="center" vertical="center"/>
    </xf>
    <xf numFmtId="164" fontId="24" fillId="0" borderId="15" xfId="0" applyNumberFormat="1" applyFont="1" applyBorder="1" applyAlignment="1">
      <alignment horizontal="center" vertical="center"/>
    </xf>
    <xf numFmtId="0" fontId="26" fillId="0" borderId="0" xfId="42" applyFill="1" applyBorder="1" applyAlignment="1">
      <alignment horizontal="right" vertical="center"/>
    </xf>
    <xf numFmtId="1" fontId="26" fillId="0" borderId="0" xfId="0" applyNumberFormat="1" applyFont="1" applyFill="1" applyAlignment="1" applyProtection="1">
      <alignment horizontal="right" vertical="center"/>
    </xf>
    <xf numFmtId="1" fontId="26" fillId="0" borderId="10" xfId="0" applyNumberFormat="1" applyFont="1" applyFill="1" applyBorder="1" applyAlignment="1" applyProtection="1">
      <alignment horizontal="right" vertical="center"/>
    </xf>
    <xf numFmtId="0" fontId="5" fillId="0" borderId="0" xfId="0" applyFont="1" applyFill="1" applyAlignment="1">
      <alignment vertical="center" wrapText="1"/>
    </xf>
    <xf numFmtId="1" fontId="26" fillId="0" borderId="0" xfId="42" applyNumberFormat="1" applyFont="1" applyAlignment="1">
      <alignment horizontal="left" vertical="center" wrapText="1"/>
    </xf>
    <xf numFmtId="0" fontId="26" fillId="0" borderId="0" xfId="42" applyFont="1" applyAlignment="1">
      <alignment horizontal="center" vertical="center"/>
    </xf>
    <xf numFmtId="0" fontId="26" fillId="0" borderId="12" xfId="42" applyFont="1" applyBorder="1" applyAlignment="1">
      <alignment horizontal="center" vertical="center"/>
    </xf>
    <xf numFmtId="0" fontId="26" fillId="0" borderId="0" xfId="42" applyFont="1" applyBorder="1" applyAlignment="1">
      <alignment horizontal="center" vertical="center"/>
    </xf>
    <xf numFmtId="0" fontId="26" fillId="0" borderId="0" xfId="0" applyFont="1" applyFill="1" applyBorder="1" applyAlignment="1">
      <alignment horizontal="left" vertical="center" wrapText="1"/>
    </xf>
    <xf numFmtId="0" fontId="23" fillId="0" borderId="0" xfId="0" applyFont="1" applyAlignment="1">
      <alignment vertical="center"/>
    </xf>
    <xf numFmtId="0" fontId="50" fillId="0" borderId="0" xfId="138" applyFont="1" applyAlignment="1" applyProtection="1">
      <alignment horizontal="left" vertical="center"/>
    </xf>
    <xf numFmtId="0" fontId="5" fillId="0" borderId="0" xfId="0" applyFont="1" applyFill="1" applyAlignment="1">
      <alignment vertical="center"/>
    </xf>
    <xf numFmtId="0" fontId="24" fillId="0" borderId="0" xfId="0" applyFont="1" applyFill="1" applyBorder="1" applyAlignment="1">
      <alignment horizontal="right" vertical="center" wrapText="1"/>
    </xf>
    <xf numFmtId="0" fontId="24" fillId="0" borderId="0" xfId="0" applyFont="1" applyFill="1" applyBorder="1" applyAlignment="1">
      <alignment vertical="center"/>
    </xf>
    <xf numFmtId="0" fontId="23" fillId="0" borderId="0" xfId="42" applyFont="1" applyFill="1" applyBorder="1" applyAlignment="1">
      <alignment horizontal="left" vertical="center"/>
    </xf>
    <xf numFmtId="0" fontId="26" fillId="0" borderId="10" xfId="42" applyFont="1" applyFill="1" applyBorder="1" applyAlignment="1">
      <alignment horizontal="center" vertical="center"/>
    </xf>
    <xf numFmtId="0" fontId="26" fillId="0" borderId="10" xfId="42" applyFont="1" applyFill="1" applyBorder="1" applyAlignment="1">
      <alignment vertical="center"/>
    </xf>
    <xf numFmtId="0" fontId="26" fillId="0" borderId="14" xfId="42" applyFont="1" applyFill="1" applyBorder="1" applyAlignment="1">
      <alignment horizontal="center" vertical="center"/>
    </xf>
    <xf numFmtId="0" fontId="26" fillId="0" borderId="15" xfId="42" applyFont="1" applyFill="1" applyBorder="1" applyAlignment="1">
      <alignment horizontal="center" vertical="center"/>
    </xf>
    <xf numFmtId="0" fontId="26" fillId="0" borderId="12" xfId="42" applyFont="1" applyFill="1" applyBorder="1" applyAlignment="1">
      <alignment horizontal="center" vertical="center"/>
    </xf>
    <xf numFmtId="164" fontId="26" fillId="0" borderId="0" xfId="42" applyNumberFormat="1" applyFont="1" applyFill="1" applyBorder="1" applyAlignment="1">
      <alignment horizontal="center" vertical="center"/>
    </xf>
    <xf numFmtId="164" fontId="26" fillId="0" borderId="13" xfId="42" applyNumberFormat="1" applyFont="1" applyFill="1" applyBorder="1" applyAlignment="1">
      <alignment horizontal="center" vertical="center"/>
    </xf>
    <xf numFmtId="0" fontId="26" fillId="0" borderId="10" xfId="0" applyFont="1" applyFill="1" applyBorder="1" applyAlignment="1">
      <alignment horizontal="left" vertical="center" wrapText="1"/>
    </xf>
    <xf numFmtId="164" fontId="26" fillId="0" borderId="15" xfId="42" applyNumberFormat="1" applyFont="1" applyFill="1" applyBorder="1" applyAlignment="1">
      <alignment horizontal="center" vertical="center"/>
    </xf>
    <xf numFmtId="164" fontId="26" fillId="0" borderId="10" xfId="42" applyNumberFormat="1" applyFont="1" applyFill="1" applyBorder="1" applyAlignment="1">
      <alignment horizontal="center" vertical="center"/>
    </xf>
    <xf numFmtId="164" fontId="26" fillId="0" borderId="15" xfId="0" applyNumberFormat="1" applyFont="1" applyFill="1" applyBorder="1" applyAlignment="1">
      <alignment horizontal="center" vertical="center"/>
    </xf>
    <xf numFmtId="171" fontId="26" fillId="0" borderId="0" xfId="42" applyNumberFormat="1" applyBorder="1" applyAlignment="1">
      <alignment vertical="center"/>
    </xf>
    <xf numFmtId="0" fontId="5" fillId="0" borderId="0" xfId="0" applyFont="1"/>
    <xf numFmtId="0" fontId="69" fillId="0" borderId="0" xfId="173" applyFont="1"/>
    <xf numFmtId="0" fontId="5" fillId="0" borderId="0" xfId="174" applyAlignment="1">
      <alignment vertical="top" wrapText="1"/>
    </xf>
    <xf numFmtId="0" fontId="69" fillId="0" borderId="0" xfId="173" applyFont="1" applyFill="1" applyAlignment="1">
      <alignment vertical="center"/>
    </xf>
    <xf numFmtId="0" fontId="69" fillId="0" borderId="0" xfId="173" applyFont="1" applyAlignment="1">
      <alignment vertical="center"/>
    </xf>
    <xf numFmtId="0" fontId="69" fillId="0" borderId="0" xfId="173" applyFont="1" applyFill="1" applyBorder="1" applyAlignment="1">
      <alignment vertical="center"/>
    </xf>
    <xf numFmtId="0" fontId="70" fillId="0" borderId="0" xfId="0" applyFont="1" applyAlignment="1">
      <alignment vertical="center"/>
    </xf>
    <xf numFmtId="0" fontId="69" fillId="0" borderId="0" xfId="173" applyFont="1" applyBorder="1" applyAlignment="1">
      <alignment vertical="center"/>
    </xf>
    <xf numFmtId="0" fontId="69" fillId="0" borderId="0" xfId="173" applyFont="1" applyFill="1" applyBorder="1" applyAlignment="1">
      <alignment horizontal="left" vertical="center"/>
    </xf>
    <xf numFmtId="0" fontId="71" fillId="0" borderId="0" xfId="0" applyFont="1" applyFill="1" applyBorder="1" applyAlignment="1">
      <alignment vertical="center"/>
    </xf>
    <xf numFmtId="0" fontId="71" fillId="0" borderId="10" xfId="0" applyFont="1" applyFill="1" applyBorder="1" applyAlignment="1"/>
    <xf numFmtId="0" fontId="71" fillId="0" borderId="0" xfId="174" applyFont="1" applyFill="1" applyBorder="1" applyAlignment="1">
      <alignment horizontal="right" vertical="center" wrapText="1"/>
    </xf>
    <xf numFmtId="0" fontId="5" fillId="0" borderId="1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vertical="center" wrapText="1"/>
    </xf>
    <xf numFmtId="164" fontId="71" fillId="0" borderId="0" xfId="0" applyNumberFormat="1" applyFont="1" applyFill="1" applyBorder="1" applyAlignment="1">
      <alignment horizontal="left" vertical="center"/>
    </xf>
    <xf numFmtId="164" fontId="71" fillId="0" borderId="10" xfId="0" applyNumberFormat="1" applyFont="1" applyFill="1" applyBorder="1" applyAlignment="1">
      <alignment horizontal="left" vertical="center"/>
    </xf>
    <xf numFmtId="0" fontId="71" fillId="0" borderId="0" xfId="0" applyFont="1" applyFill="1" applyBorder="1" applyAlignment="1">
      <alignment horizontal="center" vertical="center"/>
    </xf>
    <xf numFmtId="0" fontId="71" fillId="0" borderId="10" xfId="0" applyFont="1" applyFill="1" applyBorder="1" applyAlignment="1">
      <alignment horizontal="center" vertical="center"/>
    </xf>
    <xf numFmtId="1" fontId="4" fillId="0" borderId="0" xfId="0" applyNumberFormat="1" applyFont="1" applyAlignment="1">
      <alignment horizontal="center" vertical="center"/>
    </xf>
    <xf numFmtId="1" fontId="4" fillId="0" borderId="10" xfId="0" applyNumberFormat="1" applyFont="1" applyBorder="1" applyAlignment="1">
      <alignment horizontal="center" vertical="center"/>
    </xf>
    <xf numFmtId="0" fontId="71" fillId="0" borderId="10" xfId="0" applyFont="1" applyFill="1" applyBorder="1" applyAlignment="1">
      <alignment horizontal="center" wrapText="1"/>
    </xf>
    <xf numFmtId="0" fontId="4" fillId="0" borderId="10" xfId="0" applyFont="1" applyBorder="1" applyAlignment="1">
      <alignment horizontal="center" wrapText="1"/>
    </xf>
    <xf numFmtId="0" fontId="71" fillId="0" borderId="0" xfId="174" applyFont="1" applyFill="1" applyBorder="1" applyAlignment="1">
      <alignment horizontal="left" wrapText="1"/>
    </xf>
    <xf numFmtId="0" fontId="71" fillId="0" borderId="0" xfId="0" applyFont="1" applyFill="1" applyBorder="1" applyAlignment="1"/>
    <xf numFmtId="0" fontId="71" fillId="0" borderId="0" xfId="0" applyFont="1" applyFill="1" applyBorder="1" applyAlignment="1">
      <alignment horizontal="center" wrapText="1"/>
    </xf>
    <xf numFmtId="0" fontId="4" fillId="0" borderId="0" xfId="0" applyFont="1" applyBorder="1" applyAlignment="1">
      <alignment horizontal="center" wrapText="1"/>
    </xf>
    <xf numFmtId="0" fontId="4" fillId="0" borderId="0" xfId="0" applyFont="1" applyBorder="1" applyAlignment="1">
      <alignment horizontal="center"/>
    </xf>
    <xf numFmtId="49" fontId="4" fillId="0" borderId="10" xfId="0" applyNumberFormat="1" applyFont="1" applyBorder="1" applyAlignment="1">
      <alignment horizontal="center"/>
    </xf>
    <xf numFmtId="49" fontId="71" fillId="0" borderId="10" xfId="174" applyNumberFormat="1" applyFont="1" applyFill="1" applyBorder="1" applyAlignment="1">
      <alignment horizontal="left" wrapText="1"/>
    </xf>
    <xf numFmtId="0" fontId="0" fillId="0" borderId="0" xfId="0" applyFill="1" applyAlignment="1">
      <alignment vertical="center"/>
    </xf>
    <xf numFmtId="0" fontId="26" fillId="0" borderId="0" xfId="0" applyFont="1" applyAlignment="1">
      <alignment vertical="center" wrapText="1"/>
    </xf>
    <xf numFmtId="0" fontId="5" fillId="0" borderId="0" xfId="0" applyFont="1" applyFill="1" applyAlignment="1">
      <alignment vertical="center" wrapText="1"/>
    </xf>
    <xf numFmtId="1" fontId="24" fillId="0" borderId="0" xfId="0" applyNumberFormat="1" applyFont="1" applyAlignment="1">
      <alignment horizontal="right" vertical="center"/>
    </xf>
    <xf numFmtId="1" fontId="24" fillId="0" borderId="10" xfId="0" applyNumberFormat="1" applyFont="1" applyBorder="1" applyAlignment="1">
      <alignment horizontal="right" vertical="center"/>
    </xf>
    <xf numFmtId="0" fontId="5" fillId="0" borderId="0" xfId="174" applyAlignment="1">
      <alignment vertical="center" wrapText="1"/>
    </xf>
    <xf numFmtId="0" fontId="4" fillId="0" borderId="0" xfId="0" applyFont="1" applyAlignment="1">
      <alignment horizontal="right" vertical="center"/>
    </xf>
    <xf numFmtId="0" fontId="26" fillId="0" borderId="10" xfId="42" applyFont="1" applyBorder="1" applyAlignment="1">
      <alignment horizontal="left"/>
    </xf>
    <xf numFmtId="0" fontId="26" fillId="0" borderId="10" xfId="42" applyFont="1" applyBorder="1" applyAlignment="1">
      <alignment horizontal="right"/>
    </xf>
    <xf numFmtId="0" fontId="26" fillId="0" borderId="10" xfId="42" applyFont="1" applyBorder="1" applyAlignment="1">
      <alignment horizontal="right" wrapText="1"/>
    </xf>
    <xf numFmtId="0" fontId="26" fillId="0" borderId="11" xfId="42" applyFont="1" applyBorder="1" applyAlignment="1">
      <alignment horizontal="righ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4" fillId="0" borderId="17" xfId="0" applyFont="1" applyFill="1" applyBorder="1" applyAlignment="1"/>
    <xf numFmtId="0" fontId="64" fillId="0" borderId="17" xfId="0" applyFont="1" applyFill="1" applyBorder="1" applyAlignment="1">
      <alignment horizontal="center" wrapText="1"/>
    </xf>
    <xf numFmtId="0" fontId="5" fillId="0" borderId="17" xfId="0" applyFont="1" applyFill="1" applyBorder="1" applyAlignment="1">
      <alignment horizontal="center" vertical="center"/>
    </xf>
    <xf numFmtId="0" fontId="5" fillId="0" borderId="0" xfId="174" applyFont="1" applyFill="1" applyBorder="1" applyAlignment="1">
      <alignment vertical="center" wrapText="1"/>
    </xf>
    <xf numFmtId="0" fontId="0" fillId="0" borderId="0" xfId="0" applyAlignment="1">
      <alignment vertical="center" wrapText="1"/>
    </xf>
    <xf numFmtId="0" fontId="5" fillId="0" borderId="0" xfId="174" applyAlignment="1">
      <alignment vertical="center" wrapText="1"/>
    </xf>
    <xf numFmtId="4" fontId="3" fillId="0" borderId="0" xfId="42" applyNumberFormat="1" applyFont="1" applyBorder="1" applyAlignment="1">
      <alignment vertical="center"/>
    </xf>
    <xf numFmtId="0" fontId="23" fillId="0" borderId="0" xfId="175" applyFont="1" applyBorder="1"/>
    <xf numFmtId="0" fontId="27" fillId="0" borderId="0" xfId="176" applyNumberFormat="1" applyFont="1" applyFill="1" applyBorder="1" applyAlignment="1" applyProtection="1">
      <alignment horizontal="center" vertical="top" readingOrder="1"/>
    </xf>
    <xf numFmtId="0" fontId="2" fillId="0" borderId="0" xfId="176" applyFill="1"/>
    <xf numFmtId="0" fontId="2" fillId="0" borderId="0" xfId="176"/>
    <xf numFmtId="0" fontId="4" fillId="0" borderId="0" xfId="176" applyNumberFormat="1" applyFont="1" applyFill="1" applyBorder="1" applyAlignment="1" applyProtection="1">
      <alignment horizontal="left" vertical="top" wrapText="1" readingOrder="1"/>
    </xf>
    <xf numFmtId="0" fontId="23" fillId="0" borderId="0" xfId="176" applyNumberFormat="1" applyFont="1" applyFill="1" applyBorder="1" applyAlignment="1" applyProtection="1">
      <alignment horizontal="center" vertical="top" wrapText="1" readingOrder="1"/>
    </xf>
    <xf numFmtId="2" fontId="23" fillId="0" borderId="0" xfId="176" applyNumberFormat="1" applyFont="1" applyFill="1" applyBorder="1" applyAlignment="1" applyProtection="1">
      <alignment horizontal="center" vertical="top" wrapText="1" readingOrder="1"/>
    </xf>
    <xf numFmtId="172" fontId="4" fillId="0" borderId="0" xfId="175" applyNumberFormat="1" applyFont="1" applyFill="1" applyBorder="1" applyAlignment="1" applyProtection="1">
      <alignment horizontal="left" vertical="top" wrapText="1" readingOrder="1"/>
    </xf>
    <xf numFmtId="164" fontId="4" fillId="0" borderId="0" xfId="176" applyNumberFormat="1" applyFont="1" applyFill="1" applyBorder="1" applyAlignment="1" applyProtection="1">
      <alignment vertical="top" wrapText="1" readingOrder="1"/>
    </xf>
    <xf numFmtId="173" fontId="2" fillId="0" borderId="0" xfId="176" applyNumberFormat="1"/>
    <xf numFmtId="2" fontId="2" fillId="0" borderId="0" xfId="176" applyNumberFormat="1" applyFill="1" applyBorder="1"/>
    <xf numFmtId="1" fontId="2" fillId="0" borderId="0" xfId="176" applyNumberFormat="1" applyFill="1" applyBorder="1"/>
    <xf numFmtId="164" fontId="2" fillId="0" borderId="0" xfId="176" applyNumberFormat="1" applyFill="1" applyBorder="1"/>
    <xf numFmtId="172" fontId="4" fillId="0" borderId="10" xfId="175" applyNumberFormat="1" applyFont="1" applyFill="1" applyBorder="1" applyAlignment="1" applyProtection="1">
      <alignment horizontal="left" vertical="top" wrapText="1" readingOrder="1"/>
    </xf>
    <xf numFmtId="164" fontId="4" fillId="0" borderId="10" xfId="176" applyNumberFormat="1" applyFont="1" applyFill="1" applyBorder="1" applyAlignment="1" applyProtection="1">
      <alignment vertical="top" wrapText="1" readingOrder="1"/>
    </xf>
    <xf numFmtId="0" fontId="3" fillId="0" borderId="0" xfId="176" applyFont="1" applyFill="1" applyBorder="1"/>
    <xf numFmtId="2" fontId="3" fillId="0" borderId="0" xfId="176" applyNumberFormat="1" applyFont="1" applyFill="1" applyBorder="1"/>
    <xf numFmtId="0" fontId="3" fillId="0" borderId="10" xfId="176" applyNumberFormat="1" applyFont="1" applyFill="1" applyBorder="1" applyAlignment="1" applyProtection="1">
      <alignment horizontal="left" vertical="top" wrapText="1" readingOrder="1"/>
    </xf>
    <xf numFmtId="2" fontId="3" fillId="0" borderId="10" xfId="176" applyNumberFormat="1" applyFont="1" applyFill="1" applyBorder="1" applyAlignment="1" applyProtection="1">
      <alignment horizontal="right" vertical="top" wrapText="1" readingOrder="1"/>
    </xf>
    <xf numFmtId="0" fontId="69" fillId="0" borderId="0" xfId="173" applyFont="1" applyBorder="1" applyAlignment="1">
      <alignment horizontal="left"/>
    </xf>
    <xf numFmtId="0" fontId="71" fillId="0" borderId="0" xfId="0" applyFont="1" applyAlignment="1">
      <alignment horizontal="left" readingOrder="1"/>
    </xf>
    <xf numFmtId="0" fontId="3" fillId="0" borderId="0" xfId="0" applyFont="1" applyAlignment="1">
      <alignment horizontal="left" vertical="center"/>
    </xf>
    <xf numFmtId="0" fontId="1" fillId="0" borderId="17" xfId="0" applyFont="1" applyFill="1" applyBorder="1" applyAlignment="1">
      <alignment vertical="center"/>
    </xf>
    <xf numFmtId="0" fontId="1" fillId="0" borderId="17" xfId="0" applyFont="1" applyFill="1" applyBorder="1" applyAlignment="1">
      <alignment horizontal="center" vertical="center"/>
    </xf>
    <xf numFmtId="174" fontId="26" fillId="0" borderId="10" xfId="44" applyNumberFormat="1" applyFont="1" applyBorder="1" applyAlignment="1">
      <alignment horizontal="center" vertical="center"/>
    </xf>
    <xf numFmtId="0" fontId="23" fillId="0" borderId="0" xfId="177" applyFont="1" applyAlignment="1">
      <alignment horizontal="left" vertical="center"/>
    </xf>
    <xf numFmtId="0" fontId="1" fillId="0" borderId="0" xfId="177" applyFont="1" applyAlignment="1">
      <alignment vertical="center"/>
    </xf>
    <xf numFmtId="0" fontId="1" fillId="0" borderId="0" xfId="177" applyFont="1" applyAlignment="1">
      <alignment horizontal="center" vertical="center"/>
    </xf>
    <xf numFmtId="0" fontId="1" fillId="0" borderId="10" xfId="177" applyFont="1" applyBorder="1" applyAlignment="1">
      <alignment horizontal="center" vertical="center"/>
    </xf>
    <xf numFmtId="0" fontId="1" fillId="0" borderId="10" xfId="177" applyFont="1" applyBorder="1" applyAlignment="1">
      <alignment vertical="center"/>
    </xf>
    <xf numFmtId="0" fontId="1" fillId="0" borderId="14" xfId="177" applyFont="1" applyBorder="1" applyAlignment="1">
      <alignment horizontal="center" vertical="center"/>
    </xf>
    <xf numFmtId="0" fontId="1" fillId="0" borderId="15" xfId="177" applyFont="1" applyBorder="1" applyAlignment="1">
      <alignment horizontal="center" vertical="center"/>
    </xf>
    <xf numFmtId="0" fontId="1" fillId="0" borderId="12" xfId="177" applyFont="1" applyBorder="1" applyAlignment="1">
      <alignment horizontal="center" vertical="center"/>
    </xf>
    <xf numFmtId="0" fontId="1" fillId="0" borderId="0" xfId="177" applyFont="1" applyBorder="1" applyAlignment="1">
      <alignment vertical="center"/>
    </xf>
    <xf numFmtId="0" fontId="1" fillId="0" borderId="0" xfId="177" applyFont="1" applyBorder="1" applyAlignment="1">
      <alignment horizontal="center" vertical="center"/>
    </xf>
    <xf numFmtId="164" fontId="1" fillId="0" borderId="0" xfId="177" applyNumberFormat="1" applyFont="1" applyAlignment="1">
      <alignment horizontal="center" vertical="center"/>
    </xf>
    <xf numFmtId="0" fontId="1" fillId="0" borderId="0" xfId="177" applyFont="1" applyBorder="1" applyAlignment="1">
      <alignment horizontal="left" vertical="center"/>
    </xf>
    <xf numFmtId="164" fontId="1" fillId="0" borderId="13" xfId="177" applyNumberFormat="1" applyFont="1" applyBorder="1" applyAlignment="1">
      <alignment horizontal="center" vertical="center"/>
    </xf>
    <xf numFmtId="0" fontId="1" fillId="0" borderId="0" xfId="177" applyFont="1" applyFill="1" applyBorder="1" applyAlignment="1">
      <alignment horizontal="left" vertical="center"/>
    </xf>
    <xf numFmtId="0" fontId="1" fillId="0" borderId="0" xfId="177" applyFont="1" applyFill="1" applyBorder="1" applyAlignment="1">
      <alignment vertical="center"/>
    </xf>
    <xf numFmtId="0" fontId="1" fillId="0" borderId="0" xfId="0" applyFont="1" applyFill="1" applyBorder="1" applyAlignment="1">
      <alignment horizontal="left" vertical="center" wrapText="1"/>
    </xf>
    <xf numFmtId="0" fontId="4" fillId="0" borderId="0" xfId="0" applyFont="1" applyBorder="1" applyAlignment="1">
      <alignment horizontal="left" vertical="center" wrapText="1"/>
    </xf>
    <xf numFmtId="1" fontId="1" fillId="0" borderId="0" xfId="177" applyNumberFormat="1" applyFont="1" applyBorder="1" applyAlignment="1">
      <alignment horizontal="center" vertical="center"/>
    </xf>
    <xf numFmtId="164" fontId="1" fillId="0" borderId="0" xfId="177" applyNumberFormat="1" applyFont="1" applyBorder="1" applyAlignment="1">
      <alignment horizontal="center" vertical="center"/>
    </xf>
    <xf numFmtId="0" fontId="1" fillId="0" borderId="0" xfId="0" applyFont="1" applyBorder="1" applyAlignment="1">
      <alignment horizontal="left" vertical="center" wrapText="1"/>
    </xf>
    <xf numFmtId="164" fontId="4" fillId="0" borderId="13" xfId="0" applyNumberFormat="1" applyFont="1" applyFill="1" applyBorder="1" applyAlignment="1">
      <alignment horizontal="center" vertical="center"/>
    </xf>
    <xf numFmtId="0" fontId="1" fillId="0" borderId="10" xfId="0" applyFont="1" applyBorder="1" applyAlignment="1">
      <alignment horizontal="left" vertical="center" wrapText="1"/>
    </xf>
    <xf numFmtId="164" fontId="1" fillId="0" borderId="10" xfId="177" applyNumberFormat="1" applyFont="1" applyBorder="1" applyAlignment="1">
      <alignment horizontal="center" vertical="center"/>
    </xf>
    <xf numFmtId="164" fontId="1" fillId="0" borderId="15" xfId="177" applyNumberFormat="1" applyFont="1" applyBorder="1" applyAlignment="1">
      <alignment horizontal="center" vertical="center"/>
    </xf>
    <xf numFmtId="174" fontId="1" fillId="0" borderId="10" xfId="44" applyNumberFormat="1" applyFont="1" applyBorder="1" applyAlignment="1">
      <alignment horizontal="center" vertical="center"/>
    </xf>
    <xf numFmtId="170" fontId="1" fillId="0" borderId="0" xfId="177" applyNumberFormat="1" applyFont="1" applyBorder="1" applyAlignment="1">
      <alignment horizontal="center" vertical="center"/>
    </xf>
    <xf numFmtId="0" fontId="1" fillId="0" borderId="0" xfId="178" applyAlignment="1">
      <alignment vertical="center" wrapText="1"/>
    </xf>
    <xf numFmtId="3" fontId="4" fillId="0" borderId="0" xfId="0" applyNumberFormat="1" applyFont="1" applyAlignment="1">
      <alignment vertical="center"/>
    </xf>
    <xf numFmtId="0" fontId="24" fillId="0" borderId="10" xfId="0" applyFont="1" applyBorder="1" applyAlignment="1">
      <alignment horizontal="center" vertical="center" wrapText="1"/>
    </xf>
    <xf numFmtId="0" fontId="4" fillId="0" borderId="0" xfId="0" applyFont="1" applyAlignment="1">
      <alignment horizontal="left" vertical="center" wrapText="1"/>
    </xf>
    <xf numFmtId="0" fontId="5" fillId="0" borderId="0" xfId="174" applyAlignment="1">
      <alignment vertical="center" wrapText="1"/>
    </xf>
    <xf numFmtId="1" fontId="5" fillId="0" borderId="0" xfId="0" applyNumberFormat="1" applyFont="1" applyFill="1" applyAlignment="1">
      <alignment vertical="center" wrapText="1"/>
    </xf>
    <xf numFmtId="1" fontId="26" fillId="0" borderId="0" xfId="0" applyNumberFormat="1" applyFont="1" applyFill="1" applyAlignment="1">
      <alignment vertical="center" wrapText="1"/>
    </xf>
    <xf numFmtId="0" fontId="5"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5" fillId="0" borderId="0" xfId="0" applyFont="1" applyFill="1" applyAlignment="1">
      <alignment vertical="center" wrapText="1"/>
    </xf>
    <xf numFmtId="0" fontId="26" fillId="0" borderId="11" xfId="42" applyFont="1" applyBorder="1" applyAlignment="1">
      <alignment horizontal="center" vertical="center"/>
    </xf>
    <xf numFmtId="1" fontId="5" fillId="0" borderId="0" xfId="42" applyNumberFormat="1" applyFont="1" applyAlignment="1">
      <alignment horizontal="left" vertical="center" wrapText="1"/>
    </xf>
    <xf numFmtId="0" fontId="24" fillId="0" borderId="11"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0" xfId="178" applyAlignment="1">
      <alignment vertical="center" wrapText="1"/>
    </xf>
    <xf numFmtId="0" fontId="1" fillId="0" borderId="0" xfId="177" applyFont="1" applyAlignment="1">
      <alignment horizontal="center" vertical="center"/>
    </xf>
    <xf numFmtId="0" fontId="1" fillId="0" borderId="12" xfId="177" applyFont="1" applyBorder="1" applyAlignment="1">
      <alignment horizontal="center" vertical="center"/>
    </xf>
    <xf numFmtId="0" fontId="1" fillId="0" borderId="0" xfId="177" applyFont="1" applyBorder="1" applyAlignment="1">
      <alignment horizontal="center" vertical="center"/>
    </xf>
    <xf numFmtId="0" fontId="1" fillId="0" borderId="13" xfId="177" applyFont="1" applyBorder="1" applyAlignment="1">
      <alignment horizontal="center" vertical="center"/>
    </xf>
    <xf numFmtId="0" fontId="1" fillId="0" borderId="0" xfId="177" applyFont="1" applyAlignment="1">
      <alignment vertical="center" wrapText="1"/>
    </xf>
    <xf numFmtId="0" fontId="1" fillId="0" borderId="0" xfId="46" applyFont="1" applyFill="1" applyBorder="1" applyAlignment="1">
      <alignment horizontal="left" vertical="center" wrapText="1"/>
    </xf>
    <xf numFmtId="0" fontId="26" fillId="0" borderId="0" xfId="46" applyFont="1" applyFill="1" applyBorder="1" applyAlignment="1">
      <alignment horizontal="left" vertical="center" wrapText="1"/>
    </xf>
    <xf numFmtId="0" fontId="26" fillId="0" borderId="0" xfId="42" applyFont="1" applyFill="1" applyBorder="1" applyAlignment="1">
      <alignment horizontal="center" vertical="center"/>
    </xf>
    <xf numFmtId="0" fontId="26" fillId="0" borderId="12" xfId="42" applyFont="1" applyFill="1" applyBorder="1" applyAlignment="1">
      <alignment horizontal="center" vertical="center"/>
    </xf>
    <xf numFmtId="0" fontId="26" fillId="0" borderId="13" xfId="42" applyFont="1" applyFill="1" applyBorder="1" applyAlignment="1">
      <alignment horizontal="center" vertical="center"/>
    </xf>
    <xf numFmtId="0" fontId="26" fillId="0" borderId="0" xfId="42" applyFont="1" applyAlignment="1">
      <alignment horizontal="center" vertical="center"/>
    </xf>
    <xf numFmtId="0" fontId="26" fillId="0" borderId="12" xfId="42" applyFont="1" applyBorder="1" applyAlignment="1">
      <alignment horizontal="center" vertical="center"/>
    </xf>
    <xf numFmtId="0" fontId="26" fillId="0" borderId="0" xfId="42" applyFont="1" applyBorder="1" applyAlignment="1">
      <alignment horizontal="center" vertical="center"/>
    </xf>
    <xf numFmtId="0" fontId="26" fillId="0" borderId="13" xfId="42" applyFont="1" applyBorder="1" applyAlignment="1">
      <alignment horizontal="center" vertical="center"/>
    </xf>
    <xf numFmtId="0" fontId="26" fillId="0" borderId="0" xfId="42" applyBorder="1" applyAlignment="1">
      <alignment horizontal="center" vertical="center"/>
    </xf>
    <xf numFmtId="0" fontId="3" fillId="0" borderId="0" xfId="42" applyFont="1" applyFill="1" applyBorder="1" applyAlignment="1">
      <alignment horizontal="left" vertical="center" wrapText="1"/>
    </xf>
    <xf numFmtId="0" fontId="0" fillId="0" borderId="0" xfId="0" applyAlignment="1"/>
    <xf numFmtId="2" fontId="3" fillId="0" borderId="11" xfId="176" applyNumberFormat="1" applyFont="1" applyFill="1" applyBorder="1" applyAlignment="1" applyProtection="1">
      <alignment horizontal="center" vertical="top" wrapText="1" readingOrder="1"/>
    </xf>
    <xf numFmtId="17" fontId="4" fillId="0" borderId="0" xfId="175" applyNumberFormat="1" applyFont="1" applyFill="1" applyBorder="1" applyAlignment="1" applyProtection="1">
      <alignment horizontal="left" vertical="top" wrapText="1" readingOrder="1"/>
    </xf>
    <xf numFmtId="0" fontId="1" fillId="0" borderId="0" xfId="174" applyFont="1" applyFill="1" applyBorder="1" applyAlignment="1">
      <alignment vertical="center" wrapText="1"/>
    </xf>
    <xf numFmtId="0" fontId="5" fillId="0" borderId="0" xfId="174" applyFont="1" applyFill="1" applyBorder="1" applyAlignment="1">
      <alignment vertical="center" wrapText="1"/>
    </xf>
    <xf numFmtId="0" fontId="63" fillId="0" borderId="0" xfId="0" applyFont="1" applyFill="1" applyBorder="1" applyAlignment="1">
      <alignment horizontal="left" vertical="center" wrapText="1"/>
    </xf>
    <xf numFmtId="0" fontId="71" fillId="0" borderId="0" xfId="0" applyFont="1" applyFill="1" applyBorder="1" applyAlignment="1">
      <alignment horizontal="center" vertical="center"/>
    </xf>
    <xf numFmtId="0" fontId="71" fillId="0" borderId="0" xfId="0" applyFont="1" applyFill="1" applyBorder="1" applyAlignment="1">
      <alignment vertical="center" wrapText="1"/>
    </xf>
  </cellXfs>
  <cellStyles count="179">
    <cellStyle name="20% - Accent1" xfId="19" builtinId="30" customBuiltin="1"/>
    <cellStyle name="20% - Accent1 2" xfId="47"/>
    <cellStyle name="20% - Accent1 3" xfId="48"/>
    <cellStyle name="20% - Accent2" xfId="23" builtinId="34" customBuiltin="1"/>
    <cellStyle name="20% - Accent2 2" xfId="49"/>
    <cellStyle name="20% - Accent2 3" xfId="50"/>
    <cellStyle name="20% - Accent3" xfId="27" builtinId="38" customBuiltin="1"/>
    <cellStyle name="20% - Accent3 2" xfId="51"/>
    <cellStyle name="20% - Accent3 3" xfId="52"/>
    <cellStyle name="20% - Accent4" xfId="31" builtinId="42" customBuiltin="1"/>
    <cellStyle name="20% - Accent4 2" xfId="53"/>
    <cellStyle name="20% - Accent4 3" xfId="54"/>
    <cellStyle name="20% - Accent5" xfId="35" builtinId="46" customBuiltin="1"/>
    <cellStyle name="20% - Accent5 2" xfId="55"/>
    <cellStyle name="20% - Accent5 3" xfId="56"/>
    <cellStyle name="20% - Accent6" xfId="39" builtinId="50" customBuiltin="1"/>
    <cellStyle name="20% - Accent6 2" xfId="57"/>
    <cellStyle name="20% - Accent6 3" xfId="58"/>
    <cellStyle name="40% - Accent1" xfId="20" builtinId="31" customBuiltin="1"/>
    <cellStyle name="40% - Accent1 2" xfId="59"/>
    <cellStyle name="40% - Accent1 3" xfId="60"/>
    <cellStyle name="40% - Accent2" xfId="24" builtinId="35" customBuiltin="1"/>
    <cellStyle name="40% - Accent2 2" xfId="61"/>
    <cellStyle name="40% - Accent2 3" xfId="62"/>
    <cellStyle name="40% - Accent3" xfId="28" builtinId="39" customBuiltin="1"/>
    <cellStyle name="40% - Accent3 2" xfId="63"/>
    <cellStyle name="40% - Accent3 3" xfId="64"/>
    <cellStyle name="40% - Accent4" xfId="32" builtinId="43" customBuiltin="1"/>
    <cellStyle name="40% - Accent4 2" xfId="65"/>
    <cellStyle name="40% - Accent4 3" xfId="66"/>
    <cellStyle name="40% - Accent5" xfId="36" builtinId="47" customBuiltin="1"/>
    <cellStyle name="40% - Accent5 2" xfId="67"/>
    <cellStyle name="40% - Accent5 3" xfId="68"/>
    <cellStyle name="40% - Accent6" xfId="40" builtinId="51" customBuiltin="1"/>
    <cellStyle name="40% - Accent6 2" xfId="69"/>
    <cellStyle name="40% - Accent6 3" xfId="70"/>
    <cellStyle name="60% - Accent1" xfId="21" builtinId="32" customBuiltin="1"/>
    <cellStyle name="60% - Accent1 2" xfId="71"/>
    <cellStyle name="60% - Accent1 3" xfId="72"/>
    <cellStyle name="60% - Accent2" xfId="25" builtinId="36" customBuiltin="1"/>
    <cellStyle name="60% - Accent2 2" xfId="73"/>
    <cellStyle name="60% - Accent2 3" xfId="74"/>
    <cellStyle name="60% - Accent3" xfId="29" builtinId="40" customBuiltin="1"/>
    <cellStyle name="60% - Accent3 2" xfId="75"/>
    <cellStyle name="60% - Accent3 3" xfId="76"/>
    <cellStyle name="60% - Accent4" xfId="33" builtinId="44" customBuiltin="1"/>
    <cellStyle name="60% - Accent4 2" xfId="77"/>
    <cellStyle name="60% - Accent4 3" xfId="78"/>
    <cellStyle name="60% - Accent5" xfId="37" builtinId="48" customBuiltin="1"/>
    <cellStyle name="60% - Accent5 2" xfId="79"/>
    <cellStyle name="60% - Accent5 3" xfId="80"/>
    <cellStyle name="60% - Accent6" xfId="41" builtinId="52" customBuiltin="1"/>
    <cellStyle name="60% - Accent6 2" xfId="81"/>
    <cellStyle name="60% - Accent6 3" xfId="82"/>
    <cellStyle name="Accent1" xfId="18" builtinId="29" customBuiltin="1"/>
    <cellStyle name="Accent1 2" xfId="83"/>
    <cellStyle name="Accent1 3" xfId="84"/>
    <cellStyle name="Accent2" xfId="22" builtinId="33" customBuiltin="1"/>
    <cellStyle name="Accent2 2" xfId="85"/>
    <cellStyle name="Accent2 3" xfId="86"/>
    <cellStyle name="Accent3" xfId="26" builtinId="37" customBuiltin="1"/>
    <cellStyle name="Accent3 2" xfId="87"/>
    <cellStyle name="Accent3 3" xfId="88"/>
    <cellStyle name="Accent4" xfId="30" builtinId="41" customBuiltin="1"/>
    <cellStyle name="Accent4 2" xfId="89"/>
    <cellStyle name="Accent4 3" xfId="90"/>
    <cellStyle name="Accent5" xfId="34" builtinId="45" customBuiltin="1"/>
    <cellStyle name="Accent5 2" xfId="91"/>
    <cellStyle name="Accent5 3" xfId="92"/>
    <cellStyle name="Accent6" xfId="38" builtinId="49" customBuiltin="1"/>
    <cellStyle name="Accent6 2" xfId="93"/>
    <cellStyle name="Accent6 3" xfId="94"/>
    <cellStyle name="Bad" xfId="7" builtinId="27" customBuiltin="1"/>
    <cellStyle name="Bad 2" xfId="95"/>
    <cellStyle name="Bad 3" xfId="96"/>
    <cellStyle name="C04a_Total text black with rule" xfId="97"/>
    <cellStyle name="C05_Main text" xfId="98"/>
    <cellStyle name="C06_Figs" xfId="99"/>
    <cellStyle name="C07_Figs 1 dec percent" xfId="100"/>
    <cellStyle name="C08_Figs 1 decimal" xfId="101"/>
    <cellStyle name="C09_Notes" xfId="102"/>
    <cellStyle name="Calculation" xfId="11" builtinId="22" customBuiltin="1"/>
    <cellStyle name="Calculation 2" xfId="103"/>
    <cellStyle name="Calculation 3" xfId="104"/>
    <cellStyle name="Check Cell" xfId="13" builtinId="23" customBuiltin="1"/>
    <cellStyle name="Check Cell 2" xfId="105"/>
    <cellStyle name="Check Cell 3" xfId="106"/>
    <cellStyle name="clsAltDataPrezn1" xfId="107"/>
    <cellStyle name="clsAltMRVDataPrezn1" xfId="108"/>
    <cellStyle name="clsAltRowHeader" xfId="109"/>
    <cellStyle name="clsColumnHeader" xfId="110"/>
    <cellStyle name="clsDataPrezn1" xfId="111"/>
    <cellStyle name="clsDefault" xfId="112"/>
    <cellStyle name="clsMRVDataPrezn1" xfId="113"/>
    <cellStyle name="clsMRVRow" xfId="114"/>
    <cellStyle name="clsReportHeader" xfId="115"/>
    <cellStyle name="clsRowHeader" xfId="116"/>
    <cellStyle name="Comma" xfId="44" builtinId="3"/>
    <cellStyle name="Comma 2" xfId="117"/>
    <cellStyle name="Comma 3" xfId="118"/>
    <cellStyle name="Comma0" xfId="119"/>
    <cellStyle name="Currency 2" xfId="120"/>
    <cellStyle name="Currency0" xfId="121"/>
    <cellStyle name="Data_Green_dec1" xfId="122"/>
    <cellStyle name="Date" xfId="123"/>
    <cellStyle name="Explanatory Text" xfId="16" builtinId="53" customBuiltin="1"/>
    <cellStyle name="Explanatory Text 2" xfId="124"/>
    <cellStyle name="Explanatory Text 3" xfId="125"/>
    <cellStyle name="Fixed" xfId="126"/>
    <cellStyle name="Good" xfId="6" builtinId="26" customBuiltin="1"/>
    <cellStyle name="Good 2" xfId="127"/>
    <cellStyle name="Good 3" xfId="128"/>
    <cellStyle name="Heading 1" xfId="2" builtinId="16" customBuiltin="1"/>
    <cellStyle name="Heading 1 2" xfId="129"/>
    <cellStyle name="Heading 1 3" xfId="130"/>
    <cellStyle name="Heading 2" xfId="3" builtinId="17" customBuiltin="1"/>
    <cellStyle name="Heading 2 2" xfId="131"/>
    <cellStyle name="Heading 2 3" xfId="132"/>
    <cellStyle name="Heading 3" xfId="4" builtinId="18" customBuiltin="1"/>
    <cellStyle name="Heading 3 2" xfId="133"/>
    <cellStyle name="Heading 3 3" xfId="134"/>
    <cellStyle name="Heading 4" xfId="5" builtinId="19" customBuiltin="1"/>
    <cellStyle name="Heading 4 2" xfId="135"/>
    <cellStyle name="Heading 4 3" xfId="136"/>
    <cellStyle name="Hed Top" xfId="137"/>
    <cellStyle name="Hyperlink" xfId="173" builtinId="8"/>
    <cellStyle name="Hyperlink 2" xfId="138"/>
    <cellStyle name="Input" xfId="9" builtinId="20" customBuiltin="1"/>
    <cellStyle name="Input 2" xfId="139"/>
    <cellStyle name="Input 3" xfId="140"/>
    <cellStyle name="Linked Cell" xfId="12" builtinId="24" customBuiltin="1"/>
    <cellStyle name="Linked Cell 2" xfId="141"/>
    <cellStyle name="Linked Cell 3" xfId="142"/>
    <cellStyle name="Neutral" xfId="8" builtinId="28" customBuiltin="1"/>
    <cellStyle name="Neutral 2" xfId="143"/>
    <cellStyle name="Neutral 3" xfId="144"/>
    <cellStyle name="Normal" xfId="0" builtinId="0"/>
    <cellStyle name="Normal 10" xfId="45"/>
    <cellStyle name="Normal 11" xfId="172"/>
    <cellStyle name="Normal 12" xfId="176"/>
    <cellStyle name="Normal 2" xfId="42"/>
    <cellStyle name="Normal 2 2" xfId="145"/>
    <cellStyle name="Normal 2 3" xfId="146"/>
    <cellStyle name="Normal 2 4" xfId="46"/>
    <cellStyle name="Normal 2 5" xfId="174"/>
    <cellStyle name="Normal 2 5 2" xfId="178"/>
    <cellStyle name="Normal 2 6" xfId="175"/>
    <cellStyle name="Normal 2 7" xfId="177"/>
    <cellStyle name="Normal 3" xfId="147"/>
    <cellStyle name="Normal 3 2" xfId="148"/>
    <cellStyle name="Normal 4" xfId="149"/>
    <cellStyle name="Normal 4 2" xfId="150"/>
    <cellStyle name="Normal 5" xfId="151"/>
    <cellStyle name="Normal 5 2" xfId="152"/>
    <cellStyle name="Normal 6" xfId="153"/>
    <cellStyle name="Normal 6 2" xfId="154"/>
    <cellStyle name="Normal 7" xfId="155"/>
    <cellStyle name="Normal 8" xfId="156"/>
    <cellStyle name="Normal 9" xfId="157"/>
    <cellStyle name="Note" xfId="15" builtinId="10" customBuiltin="1"/>
    <cellStyle name="Note 2" xfId="158"/>
    <cellStyle name="Note 3" xfId="159"/>
    <cellStyle name="Output" xfId="10" builtinId="21" customBuiltin="1"/>
    <cellStyle name="Output 2" xfId="160"/>
    <cellStyle name="Output 3" xfId="161"/>
    <cellStyle name="Percent 2" xfId="162"/>
    <cellStyle name="SectionCalcHeader" xfId="163"/>
    <cellStyle name="SectionHead" xfId="164"/>
    <cellStyle name="SectionSubhead" xfId="165"/>
    <cellStyle name="Source Text" xfId="166"/>
    <cellStyle name="Style 1" xfId="167"/>
    <cellStyle name="Style 29" xfId="43"/>
    <cellStyle name="Title" xfId="1" builtinId="15" customBuiltin="1"/>
    <cellStyle name="Total" xfId="17" builtinId="25" customBuiltin="1"/>
    <cellStyle name="Total 2" xfId="168"/>
    <cellStyle name="Total 3" xfId="169"/>
    <cellStyle name="Warning Text" xfId="14" builtinId="11" customBuiltin="1"/>
    <cellStyle name="Warning Text 2" xfId="170"/>
    <cellStyle name="Warning Text 3" xfId="171"/>
  </cellStyles>
  <dxfs count="0"/>
  <tableStyles count="0" defaultTableStyle="TableStyleMedium2"/>
  <colors>
    <mruColors>
      <color rgb="FF660066"/>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hartsheet" Target="chartsheets/sheet7.xml"/><Relationship Id="rId18" Type="http://schemas.openxmlformats.org/officeDocument/2006/relationships/chartsheet" Target="chartsheets/sheet10.xml"/><Relationship Id="rId26" Type="http://schemas.openxmlformats.org/officeDocument/2006/relationships/worksheet" Target="worksheets/sheet14.xml"/><Relationship Id="rId39" Type="http://schemas.openxmlformats.org/officeDocument/2006/relationships/sharedStrings" Target="sharedStrings.xml"/><Relationship Id="rId3" Type="http://schemas.openxmlformats.org/officeDocument/2006/relationships/chartsheet" Target="chartsheets/sheet1.xml"/><Relationship Id="rId21" Type="http://schemas.openxmlformats.org/officeDocument/2006/relationships/worksheet" Target="worksheets/sheet10.xml"/><Relationship Id="rId34" Type="http://schemas.openxmlformats.org/officeDocument/2006/relationships/externalLink" Target="externalLinks/externalLink1.xml"/><Relationship Id="rId7" Type="http://schemas.openxmlformats.org/officeDocument/2006/relationships/worksheet" Target="worksheets/sheet4.xml"/><Relationship Id="rId12" Type="http://schemas.openxmlformats.org/officeDocument/2006/relationships/chartsheet" Target="chartsheets/sheet6.xml"/><Relationship Id="rId17" Type="http://schemas.openxmlformats.org/officeDocument/2006/relationships/worksheet" Target="worksheets/sheet8.xml"/><Relationship Id="rId25" Type="http://schemas.openxmlformats.org/officeDocument/2006/relationships/worksheet" Target="worksheets/sheet13.xml"/><Relationship Id="rId33" Type="http://schemas.openxmlformats.org/officeDocument/2006/relationships/worksheet" Target="worksheets/sheet1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hartsheet" Target="chartsheets/sheet9.xml"/><Relationship Id="rId20" Type="http://schemas.openxmlformats.org/officeDocument/2006/relationships/chartsheet" Target="chartsheets/sheet11.xml"/><Relationship Id="rId29" Type="http://schemas.openxmlformats.org/officeDocument/2006/relationships/chartsheet" Target="chartsheets/sheet1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worksheet" Target="worksheets/sheet12.xml"/><Relationship Id="rId32" Type="http://schemas.openxmlformats.org/officeDocument/2006/relationships/worksheet" Target="worksheets/sheet17.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3.xml"/><Relationship Id="rId15" Type="http://schemas.openxmlformats.org/officeDocument/2006/relationships/chartsheet" Target="chartsheets/sheet8.xml"/><Relationship Id="rId23" Type="http://schemas.openxmlformats.org/officeDocument/2006/relationships/worksheet" Target="worksheets/sheet11.xml"/><Relationship Id="rId28" Type="http://schemas.openxmlformats.org/officeDocument/2006/relationships/worksheet" Target="worksheets/sheet16.xml"/><Relationship Id="rId36" Type="http://schemas.openxmlformats.org/officeDocument/2006/relationships/externalLink" Target="externalLinks/externalLink3.xml"/><Relationship Id="rId10" Type="http://schemas.openxmlformats.org/officeDocument/2006/relationships/chartsheet" Target="chartsheets/sheet5.xml"/><Relationship Id="rId19" Type="http://schemas.openxmlformats.org/officeDocument/2006/relationships/worksheet" Target="worksheets/sheet9.xml"/><Relationship Id="rId31" Type="http://schemas.openxmlformats.org/officeDocument/2006/relationships/chartsheet" Target="chartsheets/sheet15.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worksheet" Target="worksheets/sheet7.xml"/><Relationship Id="rId22" Type="http://schemas.openxmlformats.org/officeDocument/2006/relationships/chartsheet" Target="chartsheets/sheet12.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Grain Stocks as Days of Consumption, 1960-2011</a:t>
            </a:r>
            <a:endParaRPr lang="en-US" sz="1400">
              <a:effectLst/>
            </a:endParaRPr>
          </a:p>
        </c:rich>
      </c:tx>
      <c:layout>
        <c:manualLayout>
          <c:xMode val="edge"/>
          <c:yMode val="edge"/>
          <c:x val="0.138008753839546"/>
          <c:y val="5.2866599668808197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Stocks!$A$6:$A$57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Stocks!$D$6:$D$57</c:f>
              <c:numCache>
                <c:formatCode>0</c:formatCode>
                <c:ptCount val="52"/>
                <c:pt idx="0">
                  <c:v>90.935814544549089</c:v>
                </c:pt>
                <c:pt idx="1">
                  <c:v>81.329952663272536</c:v>
                </c:pt>
                <c:pt idx="2">
                  <c:v>82.695298884108681</c:v>
                </c:pt>
                <c:pt idx="3">
                  <c:v>82.523199303346075</c:v>
                </c:pt>
                <c:pt idx="4">
                  <c:v>78.957342558977587</c:v>
                </c:pt>
                <c:pt idx="5">
                  <c:v>62.325536355198849</c:v>
                </c:pt>
                <c:pt idx="6">
                  <c:v>72.301385014908135</c:v>
                </c:pt>
                <c:pt idx="7">
                  <c:v>78.843119484372707</c:v>
                </c:pt>
                <c:pt idx="8">
                  <c:v>87.197191922242069</c:v>
                </c:pt>
                <c:pt idx="9">
                  <c:v>77.795076475663109</c:v>
                </c:pt>
                <c:pt idx="10">
                  <c:v>63.542787542048337</c:v>
                </c:pt>
                <c:pt idx="11">
                  <c:v>69.042104430187123</c:v>
                </c:pt>
                <c:pt idx="12">
                  <c:v>56.066741307457853</c:v>
                </c:pt>
                <c:pt idx="13">
                  <c:v>56.919071304452473</c:v>
                </c:pt>
                <c:pt idx="14">
                  <c:v>60.993482373259504</c:v>
                </c:pt>
                <c:pt idx="15">
                  <c:v>65.940318558482431</c:v>
                </c:pt>
                <c:pt idx="16">
                  <c:v>80.282546711367317</c:v>
                </c:pt>
                <c:pt idx="17">
                  <c:v>76.897926918829782</c:v>
                </c:pt>
                <c:pt idx="18">
                  <c:v>88.077821028589966</c:v>
                </c:pt>
                <c:pt idx="19">
                  <c:v>84.497458490323481</c:v>
                </c:pt>
                <c:pt idx="20">
                  <c:v>78.036014150648569</c:v>
                </c:pt>
                <c:pt idx="21">
                  <c:v>82.993831818269115</c:v>
                </c:pt>
                <c:pt idx="22">
                  <c:v>96.264416259730353</c:v>
                </c:pt>
                <c:pt idx="23">
                  <c:v>84.584434326192365</c:v>
                </c:pt>
                <c:pt idx="24">
                  <c:v>100.77002409321206</c:v>
                </c:pt>
                <c:pt idx="25">
                  <c:v>121.84790890197145</c:v>
                </c:pt>
                <c:pt idx="26">
                  <c:v>130.48509249863397</c:v>
                </c:pt>
                <c:pt idx="27">
                  <c:v>117.62107119704193</c:v>
                </c:pt>
                <c:pt idx="28">
                  <c:v>101.5804914956236</c:v>
                </c:pt>
                <c:pt idx="29">
                  <c:v>96.035503117384707</c:v>
                </c:pt>
                <c:pt idx="30">
                  <c:v>105.92058920708716</c:v>
                </c:pt>
                <c:pt idx="31">
                  <c:v>103.55548643563756</c:v>
                </c:pt>
                <c:pt idx="32">
                  <c:v>109.83033767149405</c:v>
                </c:pt>
                <c:pt idx="33">
                  <c:v>101.75876720777748</c:v>
                </c:pt>
                <c:pt idx="34">
                  <c:v>99.443289381026602</c:v>
                </c:pt>
                <c:pt idx="35">
                  <c:v>91.660990467546867</c:v>
                </c:pt>
                <c:pt idx="36">
                  <c:v>98.261221572219739</c:v>
                </c:pt>
                <c:pt idx="37">
                  <c:v>108.51574015697871</c:v>
                </c:pt>
                <c:pt idx="38">
                  <c:v>115.63992354437634</c:v>
                </c:pt>
                <c:pt idx="39">
                  <c:v>115.42152084596215</c:v>
                </c:pt>
                <c:pt idx="40">
                  <c:v>110.96583628172377</c:v>
                </c:pt>
                <c:pt idx="41">
                  <c:v>102.83016129015323</c:v>
                </c:pt>
                <c:pt idx="42">
                  <c:v>84.923183721181132</c:v>
                </c:pt>
                <c:pt idx="43">
                  <c:v>67.953615910377579</c:v>
                </c:pt>
                <c:pt idx="44">
                  <c:v>75.225265661487299</c:v>
                </c:pt>
                <c:pt idx="45">
                  <c:v>71.637197646966797</c:v>
                </c:pt>
                <c:pt idx="46">
                  <c:v>62.585177357368593</c:v>
                </c:pt>
                <c:pt idx="47">
                  <c:v>65.007053534851096</c:v>
                </c:pt>
                <c:pt idx="48">
                  <c:v>77.239895991393041</c:v>
                </c:pt>
                <c:pt idx="49">
                  <c:v>81.932697030408661</c:v>
                </c:pt>
                <c:pt idx="50">
                  <c:v>75.098992205907379</c:v>
                </c:pt>
                <c:pt idx="51">
                  <c:v>74.150358066262726</c:v>
                </c:pt>
              </c:numCache>
            </c:numRef>
          </c:yVal>
          <c:smooth val="0"/>
        </c:ser>
        <c:dLbls>
          <c:showLegendKey val="0"/>
          <c:showVal val="0"/>
          <c:showCatName val="0"/>
          <c:showSerName val="0"/>
          <c:showPercent val="0"/>
          <c:showBubbleSize val="0"/>
        </c:dLbls>
        <c:axId val="46064384"/>
        <c:axId val="46066304"/>
      </c:scatterChart>
      <c:valAx>
        <c:axId val="46064384"/>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 USDA</a:t>
                </a: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6066304"/>
        <c:crosses val="autoZero"/>
        <c:crossBetween val="midCat"/>
        <c:majorUnit val="10"/>
      </c:valAx>
      <c:valAx>
        <c:axId val="46066304"/>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Days</a:t>
                </a:r>
              </a:p>
            </c:rich>
          </c:tx>
          <c:layout>
            <c:manualLayout>
              <c:xMode val="edge"/>
              <c:yMode val="edge"/>
              <c:x val="1.7944535073409498E-2"/>
              <c:y val="0.423597678916827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6064384"/>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200" b="0" i="0" baseline="0">
                <a:effectLst/>
              </a:rPr>
              <a:t>World Corn, Wheat, and Rice Production, 1960-2011</a:t>
            </a:r>
            <a:endParaRPr lang="en-US" sz="1200">
              <a:effectLst/>
            </a:endParaRPr>
          </a:p>
        </c:rich>
      </c:tx>
      <c:layout>
        <c:manualLayout>
          <c:xMode val="edge"/>
          <c:yMode val="edge"/>
          <c:x val="0.21864266534513199"/>
          <c:y val="6.8386797170094701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tx>
            <c:strRef>
              <c:f>'CornWheatRice Prod'!$B$3</c:f>
              <c:strCache>
                <c:ptCount val="1"/>
                <c:pt idx="0">
                  <c:v>Corn</c:v>
                </c:pt>
              </c:strCache>
            </c:strRef>
          </c:tx>
          <c:spPr>
            <a:ln w="25400">
              <a:solidFill>
                <a:srgbClr val="FFC000"/>
              </a:solidFill>
              <a:prstDash val="solid"/>
            </a:ln>
          </c:spPr>
          <c:marker>
            <c:symbol val="none"/>
          </c:marker>
          <c:xVal>
            <c:numRef>
              <c:f>'CornWheatRice Prod'!$A$6:$A$57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Prod'!$B$6:$B$57</c:f>
              <c:numCache>
                <c:formatCode>_(* #,##0_);_(* \(#,##0\);_(* "-"??_);_(@_)</c:formatCode>
                <c:ptCount val="52"/>
                <c:pt idx="0">
                  <c:v>199.57599999999999</c:v>
                </c:pt>
                <c:pt idx="1">
                  <c:v>207.786</c:v>
                </c:pt>
                <c:pt idx="2">
                  <c:v>207.267</c:v>
                </c:pt>
                <c:pt idx="3">
                  <c:v>217.054</c:v>
                </c:pt>
                <c:pt idx="4">
                  <c:v>215.38900000000001</c:v>
                </c:pt>
                <c:pt idx="5">
                  <c:v>225.48500000000001</c:v>
                </c:pt>
                <c:pt idx="6">
                  <c:v>250.08</c:v>
                </c:pt>
                <c:pt idx="7">
                  <c:v>262.16399999999999</c:v>
                </c:pt>
                <c:pt idx="8">
                  <c:v>252.49600000000001</c:v>
                </c:pt>
                <c:pt idx="9">
                  <c:v>270.03800000000001</c:v>
                </c:pt>
                <c:pt idx="10">
                  <c:v>268.07799999999997</c:v>
                </c:pt>
                <c:pt idx="11">
                  <c:v>308.5</c:v>
                </c:pt>
                <c:pt idx="12">
                  <c:v>301.447</c:v>
                </c:pt>
                <c:pt idx="13">
                  <c:v>330.52300000000002</c:v>
                </c:pt>
                <c:pt idx="14">
                  <c:v>299.78100000000001</c:v>
                </c:pt>
                <c:pt idx="15">
                  <c:v>339.21499999999997</c:v>
                </c:pt>
                <c:pt idx="16">
                  <c:v>356.14</c:v>
                </c:pt>
                <c:pt idx="17">
                  <c:v>365.44099999999997</c:v>
                </c:pt>
                <c:pt idx="18">
                  <c:v>392.12</c:v>
                </c:pt>
                <c:pt idx="19">
                  <c:v>425.56599999999997</c:v>
                </c:pt>
                <c:pt idx="20">
                  <c:v>408.73399999999998</c:v>
                </c:pt>
                <c:pt idx="21">
                  <c:v>441.75299999999999</c:v>
                </c:pt>
                <c:pt idx="22">
                  <c:v>439.86900000000003</c:v>
                </c:pt>
                <c:pt idx="23">
                  <c:v>348.27199999999999</c:v>
                </c:pt>
                <c:pt idx="24">
                  <c:v>458.36599999999999</c:v>
                </c:pt>
                <c:pt idx="25">
                  <c:v>479.02</c:v>
                </c:pt>
                <c:pt idx="26">
                  <c:v>475.44400000000002</c:v>
                </c:pt>
                <c:pt idx="27">
                  <c:v>450.99700000000001</c:v>
                </c:pt>
                <c:pt idx="28">
                  <c:v>400.41300000000001</c:v>
                </c:pt>
                <c:pt idx="29">
                  <c:v>461.69</c:v>
                </c:pt>
                <c:pt idx="30">
                  <c:v>481.96300000000002</c:v>
                </c:pt>
                <c:pt idx="31">
                  <c:v>492.95</c:v>
                </c:pt>
                <c:pt idx="32">
                  <c:v>535.60500000000002</c:v>
                </c:pt>
                <c:pt idx="33">
                  <c:v>475.77300000000002</c:v>
                </c:pt>
                <c:pt idx="34">
                  <c:v>559.33199999999999</c:v>
                </c:pt>
                <c:pt idx="35">
                  <c:v>516.37099999999998</c:v>
                </c:pt>
                <c:pt idx="36">
                  <c:v>592.99900000000002</c:v>
                </c:pt>
                <c:pt idx="37">
                  <c:v>574.43499999999995</c:v>
                </c:pt>
                <c:pt idx="38">
                  <c:v>605.97299999999996</c:v>
                </c:pt>
                <c:pt idx="39">
                  <c:v>608.10900000000004</c:v>
                </c:pt>
                <c:pt idx="40">
                  <c:v>591.36500000000001</c:v>
                </c:pt>
                <c:pt idx="41">
                  <c:v>601.04399999999998</c:v>
                </c:pt>
                <c:pt idx="42">
                  <c:v>603.17899999999997</c:v>
                </c:pt>
                <c:pt idx="43">
                  <c:v>627.38699999999994</c:v>
                </c:pt>
                <c:pt idx="44">
                  <c:v>715.81</c:v>
                </c:pt>
                <c:pt idx="45">
                  <c:v>699.73900000000003</c:v>
                </c:pt>
                <c:pt idx="46">
                  <c:v>714.048</c:v>
                </c:pt>
                <c:pt idx="47">
                  <c:v>794.32899999999995</c:v>
                </c:pt>
                <c:pt idx="48">
                  <c:v>801.16</c:v>
                </c:pt>
                <c:pt idx="49">
                  <c:v>819.36400000000003</c:v>
                </c:pt>
                <c:pt idx="50">
                  <c:v>829.11500000000001</c:v>
                </c:pt>
                <c:pt idx="51">
                  <c:v>873.70299999999997</c:v>
                </c:pt>
              </c:numCache>
            </c:numRef>
          </c:yVal>
          <c:smooth val="0"/>
        </c:ser>
        <c:ser>
          <c:idx val="1"/>
          <c:order val="1"/>
          <c:tx>
            <c:strRef>
              <c:f>'CornWheatRice Prod'!$C$3</c:f>
              <c:strCache>
                <c:ptCount val="1"/>
                <c:pt idx="0">
                  <c:v>Wheat</c:v>
                </c:pt>
              </c:strCache>
            </c:strRef>
          </c:tx>
          <c:spPr>
            <a:ln w="25400">
              <a:solidFill>
                <a:srgbClr val="C0504D"/>
              </a:solidFill>
            </a:ln>
          </c:spPr>
          <c:marker>
            <c:symbol val="none"/>
          </c:marker>
          <c:xVal>
            <c:numRef>
              <c:f>'CornWheatRice Prod'!$A$6:$A$57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Prod'!$C$6:$C$57</c:f>
              <c:numCache>
                <c:formatCode>_(* #,##0_);_(* \(#,##0\);_(* "-"??_);_(@_)</c:formatCode>
                <c:ptCount val="52"/>
                <c:pt idx="0">
                  <c:v>233.45099999999999</c:v>
                </c:pt>
                <c:pt idx="1">
                  <c:v>220.04900000000001</c:v>
                </c:pt>
                <c:pt idx="2">
                  <c:v>246.78</c:v>
                </c:pt>
                <c:pt idx="3">
                  <c:v>230.387</c:v>
                </c:pt>
                <c:pt idx="4">
                  <c:v>264.911</c:v>
                </c:pt>
                <c:pt idx="5">
                  <c:v>259.31200000000001</c:v>
                </c:pt>
                <c:pt idx="6">
                  <c:v>300.65100000000001</c:v>
                </c:pt>
                <c:pt idx="7">
                  <c:v>291.94799999999998</c:v>
                </c:pt>
                <c:pt idx="8">
                  <c:v>323.774</c:v>
                </c:pt>
                <c:pt idx="9">
                  <c:v>304.02100000000002</c:v>
                </c:pt>
                <c:pt idx="10">
                  <c:v>306.53100000000001</c:v>
                </c:pt>
                <c:pt idx="11">
                  <c:v>344.11900000000003</c:v>
                </c:pt>
                <c:pt idx="12">
                  <c:v>337.48599999999999</c:v>
                </c:pt>
                <c:pt idx="13">
                  <c:v>366.06900000000002</c:v>
                </c:pt>
                <c:pt idx="14">
                  <c:v>355.226</c:v>
                </c:pt>
                <c:pt idx="15">
                  <c:v>352.64699999999999</c:v>
                </c:pt>
                <c:pt idx="16">
                  <c:v>414.34800000000001</c:v>
                </c:pt>
                <c:pt idx="17">
                  <c:v>377.84399999999999</c:v>
                </c:pt>
                <c:pt idx="18">
                  <c:v>438.94200000000001</c:v>
                </c:pt>
                <c:pt idx="19">
                  <c:v>417.54199999999997</c:v>
                </c:pt>
                <c:pt idx="20">
                  <c:v>435.86700000000002</c:v>
                </c:pt>
                <c:pt idx="21">
                  <c:v>444.995</c:v>
                </c:pt>
                <c:pt idx="22">
                  <c:v>472.73899999999998</c:v>
                </c:pt>
                <c:pt idx="23">
                  <c:v>484.30700000000002</c:v>
                </c:pt>
                <c:pt idx="24">
                  <c:v>508.91300000000001</c:v>
                </c:pt>
                <c:pt idx="25">
                  <c:v>494.81099999999998</c:v>
                </c:pt>
                <c:pt idx="26">
                  <c:v>524.08199999999999</c:v>
                </c:pt>
                <c:pt idx="27">
                  <c:v>498.71</c:v>
                </c:pt>
                <c:pt idx="28">
                  <c:v>495.27600000000001</c:v>
                </c:pt>
                <c:pt idx="29">
                  <c:v>533.13199999999995</c:v>
                </c:pt>
                <c:pt idx="30">
                  <c:v>588.80100000000004</c:v>
                </c:pt>
                <c:pt idx="31">
                  <c:v>543.51</c:v>
                </c:pt>
                <c:pt idx="32">
                  <c:v>562.63400000000001</c:v>
                </c:pt>
                <c:pt idx="33">
                  <c:v>558.47</c:v>
                </c:pt>
                <c:pt idx="34">
                  <c:v>523.03099999999995</c:v>
                </c:pt>
                <c:pt idx="35">
                  <c:v>537.51599999999996</c:v>
                </c:pt>
                <c:pt idx="36">
                  <c:v>581.47</c:v>
                </c:pt>
                <c:pt idx="37">
                  <c:v>610.23199999999997</c:v>
                </c:pt>
                <c:pt idx="38">
                  <c:v>590.43600000000004</c:v>
                </c:pt>
                <c:pt idx="39">
                  <c:v>586.83900000000006</c:v>
                </c:pt>
                <c:pt idx="40">
                  <c:v>583.07500000000005</c:v>
                </c:pt>
                <c:pt idx="41">
                  <c:v>583.55200000000002</c:v>
                </c:pt>
                <c:pt idx="42">
                  <c:v>569.59699999999998</c:v>
                </c:pt>
                <c:pt idx="43">
                  <c:v>555.27099999999996</c:v>
                </c:pt>
                <c:pt idx="44">
                  <c:v>626.673</c:v>
                </c:pt>
                <c:pt idx="45">
                  <c:v>618.80600000000004</c:v>
                </c:pt>
                <c:pt idx="46">
                  <c:v>596.11199999999997</c:v>
                </c:pt>
                <c:pt idx="47">
                  <c:v>611.85199999999998</c:v>
                </c:pt>
                <c:pt idx="48">
                  <c:v>682.75400000000002</c:v>
                </c:pt>
                <c:pt idx="49">
                  <c:v>686.18899999999996</c:v>
                </c:pt>
                <c:pt idx="50">
                  <c:v>651.14</c:v>
                </c:pt>
                <c:pt idx="51">
                  <c:v>694.68700000000001</c:v>
                </c:pt>
              </c:numCache>
            </c:numRef>
          </c:yVal>
          <c:smooth val="0"/>
        </c:ser>
        <c:ser>
          <c:idx val="2"/>
          <c:order val="2"/>
          <c:tx>
            <c:strRef>
              <c:f>'CornWheatRice Prod'!$D$3</c:f>
              <c:strCache>
                <c:ptCount val="1"/>
                <c:pt idx="0">
                  <c:v>Rice</c:v>
                </c:pt>
              </c:strCache>
            </c:strRef>
          </c:tx>
          <c:spPr>
            <a:ln w="25400">
              <a:solidFill>
                <a:srgbClr val="9BBB59">
                  <a:lumMod val="50000"/>
                </a:srgbClr>
              </a:solidFill>
            </a:ln>
          </c:spPr>
          <c:marker>
            <c:symbol val="none"/>
          </c:marker>
          <c:xVal>
            <c:numRef>
              <c:f>'CornWheatRice Prod'!$A$6:$A$57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Prod'!$D$6:$D$57</c:f>
              <c:numCache>
                <c:formatCode>_(* #,##0_);_(* \(#,##0\);_(* "-"??_);_(@_)</c:formatCode>
                <c:ptCount val="52"/>
                <c:pt idx="0">
                  <c:v>150.821</c:v>
                </c:pt>
                <c:pt idx="1">
                  <c:v>147.30000000000001</c:v>
                </c:pt>
                <c:pt idx="2">
                  <c:v>155.10499999999999</c:v>
                </c:pt>
                <c:pt idx="3">
                  <c:v>169.01300000000001</c:v>
                </c:pt>
                <c:pt idx="4">
                  <c:v>180.738</c:v>
                </c:pt>
                <c:pt idx="5">
                  <c:v>172.90100000000001</c:v>
                </c:pt>
                <c:pt idx="6">
                  <c:v>178.99600000000001</c:v>
                </c:pt>
                <c:pt idx="7">
                  <c:v>188.85300000000001</c:v>
                </c:pt>
                <c:pt idx="8">
                  <c:v>194.85499999999999</c:v>
                </c:pt>
                <c:pt idx="9">
                  <c:v>201.08699999999999</c:v>
                </c:pt>
                <c:pt idx="10">
                  <c:v>213.012</c:v>
                </c:pt>
                <c:pt idx="11">
                  <c:v>215.77199999999999</c:v>
                </c:pt>
                <c:pt idx="12">
                  <c:v>208.93700000000001</c:v>
                </c:pt>
                <c:pt idx="13">
                  <c:v>227.55500000000001</c:v>
                </c:pt>
                <c:pt idx="14">
                  <c:v>225.66200000000001</c:v>
                </c:pt>
                <c:pt idx="15">
                  <c:v>242.892</c:v>
                </c:pt>
                <c:pt idx="16">
                  <c:v>235.387</c:v>
                </c:pt>
                <c:pt idx="17">
                  <c:v>250.12100000000001</c:v>
                </c:pt>
                <c:pt idx="18">
                  <c:v>262.06900000000002</c:v>
                </c:pt>
                <c:pt idx="19">
                  <c:v>256.17</c:v>
                </c:pt>
                <c:pt idx="20">
                  <c:v>269.90800000000002</c:v>
                </c:pt>
                <c:pt idx="21">
                  <c:v>277.90199999999999</c:v>
                </c:pt>
                <c:pt idx="22">
                  <c:v>284.97399999999999</c:v>
                </c:pt>
                <c:pt idx="23">
                  <c:v>306.94200000000001</c:v>
                </c:pt>
                <c:pt idx="24">
                  <c:v>316.75799999999998</c:v>
                </c:pt>
                <c:pt idx="25">
                  <c:v>317.98599999999999</c:v>
                </c:pt>
                <c:pt idx="26">
                  <c:v>316.05099999999999</c:v>
                </c:pt>
                <c:pt idx="27">
                  <c:v>315.09199999999998</c:v>
                </c:pt>
                <c:pt idx="28">
                  <c:v>332.11700000000002</c:v>
                </c:pt>
                <c:pt idx="29">
                  <c:v>345.24700000000001</c:v>
                </c:pt>
                <c:pt idx="30">
                  <c:v>351.37099999999998</c:v>
                </c:pt>
                <c:pt idx="31">
                  <c:v>353.23500000000001</c:v>
                </c:pt>
                <c:pt idx="32">
                  <c:v>354.00299999999999</c:v>
                </c:pt>
                <c:pt idx="33">
                  <c:v>354.7</c:v>
                </c:pt>
                <c:pt idx="34">
                  <c:v>364.14800000000002</c:v>
                </c:pt>
                <c:pt idx="35">
                  <c:v>368.791</c:v>
                </c:pt>
                <c:pt idx="36">
                  <c:v>381.38200000000001</c:v>
                </c:pt>
                <c:pt idx="37">
                  <c:v>387.43299999999999</c:v>
                </c:pt>
                <c:pt idx="38">
                  <c:v>394.91500000000002</c:v>
                </c:pt>
                <c:pt idx="39">
                  <c:v>409.17599999999999</c:v>
                </c:pt>
                <c:pt idx="40">
                  <c:v>399.26</c:v>
                </c:pt>
                <c:pt idx="41">
                  <c:v>399.47199999999998</c:v>
                </c:pt>
                <c:pt idx="42">
                  <c:v>378.19900000000001</c:v>
                </c:pt>
                <c:pt idx="43">
                  <c:v>392.31200000000001</c:v>
                </c:pt>
                <c:pt idx="44">
                  <c:v>400.92</c:v>
                </c:pt>
                <c:pt idx="45">
                  <c:v>417.31200000000001</c:v>
                </c:pt>
                <c:pt idx="46">
                  <c:v>419.911</c:v>
                </c:pt>
                <c:pt idx="47">
                  <c:v>432.94400000000002</c:v>
                </c:pt>
                <c:pt idx="48">
                  <c:v>448.69099999999997</c:v>
                </c:pt>
                <c:pt idx="49">
                  <c:v>441.27199999999999</c:v>
                </c:pt>
                <c:pt idx="50">
                  <c:v>449.36599999999999</c:v>
                </c:pt>
                <c:pt idx="51">
                  <c:v>463.93900000000002</c:v>
                </c:pt>
              </c:numCache>
            </c:numRef>
          </c:yVal>
          <c:smooth val="0"/>
        </c:ser>
        <c:dLbls>
          <c:showLegendKey val="0"/>
          <c:showVal val="0"/>
          <c:showCatName val="0"/>
          <c:showSerName val="0"/>
          <c:showPercent val="0"/>
          <c:showBubbleSize val="0"/>
        </c:dLbls>
        <c:axId val="88778624"/>
        <c:axId val="88788992"/>
      </c:scatterChart>
      <c:valAx>
        <c:axId val="88778624"/>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a:t>
                </a:r>
                <a:r>
                  <a:rPr lang="en-US" baseline="0"/>
                  <a:t> USDA</a:t>
                </a:r>
                <a:endParaRPr lang="en-US"/>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788992"/>
        <c:crosses val="autoZero"/>
        <c:crossBetween val="midCat"/>
        <c:majorUnit val="10"/>
      </c:valAx>
      <c:valAx>
        <c:axId val="88788992"/>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sz="1200" b="0" i="0" baseline="0">
                    <a:effectLst/>
                  </a:rPr>
                  <a:t>Million Tons</a:t>
                </a:r>
                <a:endParaRPr lang="en-US" sz="1200" b="0">
                  <a:effectLst/>
                </a:endParaRPr>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778624"/>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latin typeface="Arial" pitchFamily="34" charset="0"/>
                <a:cs typeface="Arial" pitchFamily="34" charset="0"/>
              </a:rPr>
              <a:t>World Corn, Wheat, and Rice Area, 1960-2011</a:t>
            </a:r>
            <a:endParaRPr lang="en-US" sz="1400">
              <a:effectLst/>
              <a:latin typeface="Arial" pitchFamily="34" charset="0"/>
              <a:cs typeface="Arial" pitchFamily="34" charset="0"/>
            </a:endParaRPr>
          </a:p>
        </c:rich>
      </c:tx>
      <c:layout>
        <c:manualLayout>
          <c:xMode val="edge"/>
          <c:yMode val="edge"/>
          <c:x val="0.20978690061784691"/>
          <c:y val="5.8024642470948386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tx>
            <c:strRef>
              <c:f>'CornWheatRice Area'!$B$3</c:f>
              <c:strCache>
                <c:ptCount val="1"/>
                <c:pt idx="0">
                  <c:v>Corn</c:v>
                </c:pt>
              </c:strCache>
            </c:strRef>
          </c:tx>
          <c:spPr>
            <a:ln w="25400">
              <a:solidFill>
                <a:srgbClr val="FFC000"/>
              </a:solidFill>
              <a:prstDash val="solid"/>
            </a:ln>
          </c:spPr>
          <c:marker>
            <c:symbol val="none"/>
          </c:marker>
          <c:xVal>
            <c:numRef>
              <c:f>'CornWheatRice Area'!$A$6:$A$57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Area'!$B$6:$B$57</c:f>
              <c:numCache>
                <c:formatCode>_(* #,##0_);_(* \(#,##0\);_(* "-"??_);_(@_)</c:formatCode>
                <c:ptCount val="52"/>
                <c:pt idx="0">
                  <c:v>102.179</c:v>
                </c:pt>
                <c:pt idx="1">
                  <c:v>102.839</c:v>
                </c:pt>
                <c:pt idx="2">
                  <c:v>101.992</c:v>
                </c:pt>
                <c:pt idx="3">
                  <c:v>107.361</c:v>
                </c:pt>
                <c:pt idx="4">
                  <c:v>105.985</c:v>
                </c:pt>
                <c:pt idx="5">
                  <c:v>104.471</c:v>
                </c:pt>
                <c:pt idx="6">
                  <c:v>109.66200000000001</c:v>
                </c:pt>
                <c:pt idx="7">
                  <c:v>110.345</c:v>
                </c:pt>
                <c:pt idx="8">
                  <c:v>108.776</c:v>
                </c:pt>
                <c:pt idx="9">
                  <c:v>109.941</c:v>
                </c:pt>
                <c:pt idx="10">
                  <c:v>112.523</c:v>
                </c:pt>
                <c:pt idx="11">
                  <c:v>116.226</c:v>
                </c:pt>
                <c:pt idx="12">
                  <c:v>111.871</c:v>
                </c:pt>
                <c:pt idx="13">
                  <c:v>118.151</c:v>
                </c:pt>
                <c:pt idx="14">
                  <c:v>118.735</c:v>
                </c:pt>
                <c:pt idx="15">
                  <c:v>121.96899999999999</c:v>
                </c:pt>
                <c:pt idx="16">
                  <c:v>124.27</c:v>
                </c:pt>
                <c:pt idx="17">
                  <c:v>125.77200000000001</c:v>
                </c:pt>
                <c:pt idx="18">
                  <c:v>126.04600000000001</c:v>
                </c:pt>
                <c:pt idx="19">
                  <c:v>127.255</c:v>
                </c:pt>
                <c:pt idx="20">
                  <c:v>131.18899999999999</c:v>
                </c:pt>
                <c:pt idx="21">
                  <c:v>133.04</c:v>
                </c:pt>
                <c:pt idx="22">
                  <c:v>125.245</c:v>
                </c:pt>
                <c:pt idx="23">
                  <c:v>119.699</c:v>
                </c:pt>
                <c:pt idx="24">
                  <c:v>128.96899999999999</c:v>
                </c:pt>
                <c:pt idx="25">
                  <c:v>130.999</c:v>
                </c:pt>
                <c:pt idx="26">
                  <c:v>131.85900000000001</c:v>
                </c:pt>
                <c:pt idx="27">
                  <c:v>126.86</c:v>
                </c:pt>
                <c:pt idx="28">
                  <c:v>126.108</c:v>
                </c:pt>
                <c:pt idx="29">
                  <c:v>127.31</c:v>
                </c:pt>
                <c:pt idx="30">
                  <c:v>129.102</c:v>
                </c:pt>
                <c:pt idx="31">
                  <c:v>132.49799999999999</c:v>
                </c:pt>
                <c:pt idx="32">
                  <c:v>133.08000000000001</c:v>
                </c:pt>
                <c:pt idx="33">
                  <c:v>130.703</c:v>
                </c:pt>
                <c:pt idx="34">
                  <c:v>135.16900000000001</c:v>
                </c:pt>
                <c:pt idx="35">
                  <c:v>134.96600000000001</c:v>
                </c:pt>
                <c:pt idx="36">
                  <c:v>141.52500000000001</c:v>
                </c:pt>
                <c:pt idx="37">
                  <c:v>136.249</c:v>
                </c:pt>
                <c:pt idx="38">
                  <c:v>138.94</c:v>
                </c:pt>
                <c:pt idx="39">
                  <c:v>138.904</c:v>
                </c:pt>
                <c:pt idx="40">
                  <c:v>137.18600000000001</c:v>
                </c:pt>
                <c:pt idx="41">
                  <c:v>137.483</c:v>
                </c:pt>
                <c:pt idx="42">
                  <c:v>137.31100000000001</c:v>
                </c:pt>
                <c:pt idx="43">
                  <c:v>141.98500000000001</c:v>
                </c:pt>
                <c:pt idx="44">
                  <c:v>145.42400000000001</c:v>
                </c:pt>
                <c:pt idx="45">
                  <c:v>145.72800000000001</c:v>
                </c:pt>
                <c:pt idx="46">
                  <c:v>149.452</c:v>
                </c:pt>
                <c:pt idx="47">
                  <c:v>160.46199999999999</c:v>
                </c:pt>
                <c:pt idx="48">
                  <c:v>158.50299999999999</c:v>
                </c:pt>
                <c:pt idx="49">
                  <c:v>157.36500000000001</c:v>
                </c:pt>
                <c:pt idx="50">
                  <c:v>162.58799999999999</c:v>
                </c:pt>
                <c:pt idx="51">
                  <c:v>168.40299999999999</c:v>
                </c:pt>
              </c:numCache>
            </c:numRef>
          </c:yVal>
          <c:smooth val="0"/>
        </c:ser>
        <c:ser>
          <c:idx val="1"/>
          <c:order val="1"/>
          <c:tx>
            <c:strRef>
              <c:f>'CornWheatRice Area'!$C$3</c:f>
              <c:strCache>
                <c:ptCount val="1"/>
                <c:pt idx="0">
                  <c:v>Wheat</c:v>
                </c:pt>
              </c:strCache>
            </c:strRef>
          </c:tx>
          <c:spPr>
            <a:ln w="25400">
              <a:solidFill>
                <a:srgbClr val="C0504D"/>
              </a:solidFill>
            </a:ln>
          </c:spPr>
          <c:marker>
            <c:symbol val="none"/>
          </c:marker>
          <c:xVal>
            <c:numRef>
              <c:f>'CornWheatRice Area'!$A$6:$A$57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Area'!$C$6:$C$57</c:f>
              <c:numCache>
                <c:formatCode>_(* #,##0_);_(* \(#,##0\);_(* "-"??_);_(@_)</c:formatCode>
                <c:ptCount val="52"/>
                <c:pt idx="0">
                  <c:v>202.2</c:v>
                </c:pt>
                <c:pt idx="1">
                  <c:v>203.458</c:v>
                </c:pt>
                <c:pt idx="2">
                  <c:v>206.87799999999999</c:v>
                </c:pt>
                <c:pt idx="3">
                  <c:v>206.30699999999999</c:v>
                </c:pt>
                <c:pt idx="4">
                  <c:v>215.94</c:v>
                </c:pt>
                <c:pt idx="5">
                  <c:v>215.24799999999999</c:v>
                </c:pt>
                <c:pt idx="6">
                  <c:v>213.84</c:v>
                </c:pt>
                <c:pt idx="7">
                  <c:v>219.20099999999999</c:v>
                </c:pt>
                <c:pt idx="8">
                  <c:v>223.89400000000001</c:v>
                </c:pt>
                <c:pt idx="9">
                  <c:v>217.82400000000001</c:v>
                </c:pt>
                <c:pt idx="10">
                  <c:v>206.97900000000001</c:v>
                </c:pt>
                <c:pt idx="11">
                  <c:v>212.73599999999999</c:v>
                </c:pt>
                <c:pt idx="12">
                  <c:v>210.9</c:v>
                </c:pt>
                <c:pt idx="13">
                  <c:v>217.03</c:v>
                </c:pt>
                <c:pt idx="14">
                  <c:v>220.02600000000001</c:v>
                </c:pt>
                <c:pt idx="15">
                  <c:v>225.33799999999999</c:v>
                </c:pt>
                <c:pt idx="16">
                  <c:v>233.072</c:v>
                </c:pt>
                <c:pt idx="17">
                  <c:v>227.15600000000001</c:v>
                </c:pt>
                <c:pt idx="18">
                  <c:v>228.90199999999999</c:v>
                </c:pt>
                <c:pt idx="19">
                  <c:v>227.83</c:v>
                </c:pt>
                <c:pt idx="20">
                  <c:v>236.90100000000001</c:v>
                </c:pt>
                <c:pt idx="21">
                  <c:v>238.911</c:v>
                </c:pt>
                <c:pt idx="22">
                  <c:v>238.35300000000001</c:v>
                </c:pt>
                <c:pt idx="23">
                  <c:v>229.923</c:v>
                </c:pt>
                <c:pt idx="24">
                  <c:v>231.66900000000001</c:v>
                </c:pt>
                <c:pt idx="25">
                  <c:v>229.82599999999999</c:v>
                </c:pt>
                <c:pt idx="26">
                  <c:v>227.89500000000001</c:v>
                </c:pt>
                <c:pt idx="27">
                  <c:v>220.08699999999999</c:v>
                </c:pt>
                <c:pt idx="28">
                  <c:v>217.87799999999999</c:v>
                </c:pt>
                <c:pt idx="29">
                  <c:v>226.333</c:v>
                </c:pt>
                <c:pt idx="30">
                  <c:v>231.01499999999999</c:v>
                </c:pt>
                <c:pt idx="31">
                  <c:v>222.77</c:v>
                </c:pt>
                <c:pt idx="32">
                  <c:v>222.06100000000001</c:v>
                </c:pt>
                <c:pt idx="33">
                  <c:v>221.04400000000001</c:v>
                </c:pt>
                <c:pt idx="34">
                  <c:v>213.32599999999999</c:v>
                </c:pt>
                <c:pt idx="35">
                  <c:v>216.715</c:v>
                </c:pt>
                <c:pt idx="36">
                  <c:v>227.13200000000001</c:v>
                </c:pt>
                <c:pt idx="37">
                  <c:v>226.43700000000001</c:v>
                </c:pt>
                <c:pt idx="38">
                  <c:v>219.239</c:v>
                </c:pt>
                <c:pt idx="39">
                  <c:v>212.79300000000001</c:v>
                </c:pt>
                <c:pt idx="40">
                  <c:v>215.74</c:v>
                </c:pt>
                <c:pt idx="41">
                  <c:v>214.53100000000001</c:v>
                </c:pt>
                <c:pt idx="42">
                  <c:v>213.78800000000001</c:v>
                </c:pt>
                <c:pt idx="43">
                  <c:v>207.797</c:v>
                </c:pt>
                <c:pt idx="44">
                  <c:v>216.10400000000001</c:v>
                </c:pt>
                <c:pt idx="45">
                  <c:v>218.72200000000001</c:v>
                </c:pt>
                <c:pt idx="46">
                  <c:v>212.23099999999999</c:v>
                </c:pt>
                <c:pt idx="47">
                  <c:v>217.14</c:v>
                </c:pt>
                <c:pt idx="48">
                  <c:v>224.56200000000001</c:v>
                </c:pt>
                <c:pt idx="49">
                  <c:v>225.821</c:v>
                </c:pt>
                <c:pt idx="50">
                  <c:v>218.34399999999999</c:v>
                </c:pt>
                <c:pt idx="51">
                  <c:v>221.67599999999999</c:v>
                </c:pt>
              </c:numCache>
            </c:numRef>
          </c:yVal>
          <c:smooth val="0"/>
        </c:ser>
        <c:ser>
          <c:idx val="2"/>
          <c:order val="2"/>
          <c:tx>
            <c:strRef>
              <c:f>'CornWheatRice Area'!$D$3</c:f>
              <c:strCache>
                <c:ptCount val="1"/>
                <c:pt idx="0">
                  <c:v>Rice</c:v>
                </c:pt>
              </c:strCache>
            </c:strRef>
          </c:tx>
          <c:spPr>
            <a:ln w="25400">
              <a:solidFill>
                <a:srgbClr val="9BBB59">
                  <a:lumMod val="50000"/>
                </a:srgbClr>
              </a:solidFill>
            </a:ln>
          </c:spPr>
          <c:marker>
            <c:symbol val="none"/>
          </c:marker>
          <c:xVal>
            <c:numRef>
              <c:f>'CornWheatRice Area'!$A$6:$A$57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Area'!$D$6:$D$57</c:f>
              <c:numCache>
                <c:formatCode>_(* #,##0_);_(* \(#,##0\);_(* "-"??_);_(@_)</c:formatCode>
                <c:ptCount val="52"/>
                <c:pt idx="0">
                  <c:v>120.13800000000001</c:v>
                </c:pt>
                <c:pt idx="1">
                  <c:v>115.81699999999999</c:v>
                </c:pt>
                <c:pt idx="2">
                  <c:v>119.71899999999999</c:v>
                </c:pt>
                <c:pt idx="3">
                  <c:v>121.151</c:v>
                </c:pt>
                <c:pt idx="4">
                  <c:v>125.40300000000001</c:v>
                </c:pt>
                <c:pt idx="5">
                  <c:v>123.967</c:v>
                </c:pt>
                <c:pt idx="6">
                  <c:v>125.679</c:v>
                </c:pt>
                <c:pt idx="7">
                  <c:v>126.99</c:v>
                </c:pt>
                <c:pt idx="8">
                  <c:v>128.59299999999999</c:v>
                </c:pt>
                <c:pt idx="9">
                  <c:v>131.42599999999999</c:v>
                </c:pt>
                <c:pt idx="10">
                  <c:v>132.655</c:v>
                </c:pt>
                <c:pt idx="11">
                  <c:v>134.83099999999999</c:v>
                </c:pt>
                <c:pt idx="12">
                  <c:v>132.518</c:v>
                </c:pt>
                <c:pt idx="13">
                  <c:v>136.28800000000001</c:v>
                </c:pt>
                <c:pt idx="14">
                  <c:v>137.79599999999999</c:v>
                </c:pt>
                <c:pt idx="15">
                  <c:v>142.73699999999999</c:v>
                </c:pt>
                <c:pt idx="16">
                  <c:v>141.029</c:v>
                </c:pt>
                <c:pt idx="17">
                  <c:v>142.90899999999999</c:v>
                </c:pt>
                <c:pt idx="18">
                  <c:v>143.21799999999999</c:v>
                </c:pt>
                <c:pt idx="19">
                  <c:v>141.32499999999999</c:v>
                </c:pt>
                <c:pt idx="20">
                  <c:v>144.41200000000001</c:v>
                </c:pt>
                <c:pt idx="21">
                  <c:v>144.375</c:v>
                </c:pt>
                <c:pt idx="22">
                  <c:v>140.52600000000001</c:v>
                </c:pt>
                <c:pt idx="23">
                  <c:v>144.613</c:v>
                </c:pt>
                <c:pt idx="24">
                  <c:v>144.06700000000001</c:v>
                </c:pt>
                <c:pt idx="25">
                  <c:v>144.72800000000001</c:v>
                </c:pt>
                <c:pt idx="26">
                  <c:v>144.809</c:v>
                </c:pt>
                <c:pt idx="27">
                  <c:v>141.43199999999999</c:v>
                </c:pt>
                <c:pt idx="28">
                  <c:v>146.58199999999999</c:v>
                </c:pt>
                <c:pt idx="29">
                  <c:v>147.81100000000001</c:v>
                </c:pt>
                <c:pt idx="30">
                  <c:v>146.96600000000001</c:v>
                </c:pt>
                <c:pt idx="31">
                  <c:v>147.48599999999999</c:v>
                </c:pt>
                <c:pt idx="32">
                  <c:v>146.47999999999999</c:v>
                </c:pt>
                <c:pt idx="33">
                  <c:v>145.33199999999999</c:v>
                </c:pt>
                <c:pt idx="34">
                  <c:v>147.34200000000001</c:v>
                </c:pt>
                <c:pt idx="35">
                  <c:v>148.352</c:v>
                </c:pt>
                <c:pt idx="36">
                  <c:v>150.083</c:v>
                </c:pt>
                <c:pt idx="37">
                  <c:v>151.708</c:v>
                </c:pt>
                <c:pt idx="38">
                  <c:v>153.114</c:v>
                </c:pt>
                <c:pt idx="39">
                  <c:v>155.86000000000001</c:v>
                </c:pt>
                <c:pt idx="40">
                  <c:v>152.44300000000001</c:v>
                </c:pt>
                <c:pt idx="41">
                  <c:v>151.352</c:v>
                </c:pt>
                <c:pt idx="42">
                  <c:v>146.89599999999999</c:v>
                </c:pt>
                <c:pt idx="43">
                  <c:v>149.31700000000001</c:v>
                </c:pt>
                <c:pt idx="44">
                  <c:v>151.839</c:v>
                </c:pt>
                <c:pt idx="45">
                  <c:v>153.85300000000001</c:v>
                </c:pt>
                <c:pt idx="46">
                  <c:v>154.50899999999999</c:v>
                </c:pt>
                <c:pt idx="47">
                  <c:v>155.054</c:v>
                </c:pt>
                <c:pt idx="48">
                  <c:v>158.20099999999999</c:v>
                </c:pt>
                <c:pt idx="49">
                  <c:v>156.131</c:v>
                </c:pt>
                <c:pt idx="50">
                  <c:v>157.733</c:v>
                </c:pt>
                <c:pt idx="51">
                  <c:v>158.851</c:v>
                </c:pt>
              </c:numCache>
            </c:numRef>
          </c:yVal>
          <c:smooth val="0"/>
        </c:ser>
        <c:dLbls>
          <c:showLegendKey val="0"/>
          <c:showVal val="0"/>
          <c:showCatName val="0"/>
          <c:showSerName val="0"/>
          <c:showPercent val="0"/>
          <c:showBubbleSize val="0"/>
        </c:dLbls>
        <c:axId val="95841664"/>
        <c:axId val="95852032"/>
      </c:scatterChart>
      <c:valAx>
        <c:axId val="95841664"/>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sz="1000" b="0" i="1" baseline="0">
                    <a:effectLst/>
                  </a:rPr>
                  <a:t>Source: USDA</a:t>
                </a:r>
                <a:endParaRPr lang="en-US" sz="1000">
                  <a:effectLst/>
                </a:endParaRP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852032"/>
        <c:crosses val="autoZero"/>
        <c:crossBetween val="midCat"/>
        <c:majorUnit val="10"/>
      </c:valAx>
      <c:valAx>
        <c:axId val="95852032"/>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sz="1200" b="0" i="0" baseline="0">
                    <a:effectLst/>
                    <a:latin typeface="Arial" pitchFamily="34" charset="0"/>
                    <a:cs typeface="Arial" pitchFamily="34" charset="0"/>
                  </a:rPr>
                  <a:t>Million Hectares</a:t>
                </a:r>
                <a:endParaRPr lang="en-US" sz="1200">
                  <a:effectLst/>
                  <a:latin typeface="Arial" pitchFamily="34" charset="0"/>
                  <a:cs typeface="Arial" pitchFamily="34" charset="0"/>
                </a:endParaRPr>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5841664"/>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latin typeface="Arial" pitchFamily="34" charset="0"/>
                <a:cs typeface="Arial" pitchFamily="34" charset="0"/>
              </a:rPr>
              <a:t>World Average Corn, Wheat, and Rice Yields, 1960-2011</a:t>
            </a:r>
            <a:endParaRPr lang="en-US" sz="1400">
              <a:effectLst/>
              <a:latin typeface="Arial" pitchFamily="34" charset="0"/>
              <a:cs typeface="Arial" pitchFamily="34" charset="0"/>
            </a:endParaRPr>
          </a:p>
        </c:rich>
      </c:tx>
      <c:layout>
        <c:manualLayout>
          <c:xMode val="edge"/>
          <c:yMode val="edge"/>
          <c:x val="0.138008753839546"/>
          <c:y val="5.2866599668808197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tx>
            <c:strRef>
              <c:f>'CornWheatRice Yields'!$B$3</c:f>
              <c:strCache>
                <c:ptCount val="1"/>
                <c:pt idx="0">
                  <c:v>Corn</c:v>
                </c:pt>
              </c:strCache>
            </c:strRef>
          </c:tx>
          <c:spPr>
            <a:ln w="25400">
              <a:solidFill>
                <a:srgbClr val="FFC000"/>
              </a:solidFill>
              <a:prstDash val="solid"/>
            </a:ln>
          </c:spPr>
          <c:marker>
            <c:symbol val="none"/>
          </c:marker>
          <c:xVal>
            <c:numRef>
              <c:f>'CornWheatRice Yields'!$A$6:$A$57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Yields'!$B$6:$B$57</c:f>
              <c:numCache>
                <c:formatCode>#,##0.00</c:formatCode>
                <c:ptCount val="52"/>
                <c:pt idx="0">
                  <c:v>1.9531997768621732</c:v>
                </c:pt>
                <c:pt idx="1">
                  <c:v>2.0204980600744853</c:v>
                </c:pt>
                <c:pt idx="2">
                  <c:v>2.0321887991214997</c:v>
                </c:pt>
                <c:pt idx="3">
                  <c:v>2.0217211091550937</c:v>
                </c:pt>
                <c:pt idx="4">
                  <c:v>2.0322592819738641</c:v>
                </c:pt>
                <c:pt idx="5">
                  <c:v>2.1583501641603888</c:v>
                </c:pt>
                <c:pt idx="6">
                  <c:v>2.2804617825682554</c:v>
                </c:pt>
                <c:pt idx="7">
                  <c:v>2.3758575377225974</c:v>
                </c:pt>
                <c:pt idx="8">
                  <c:v>2.3212473339707289</c:v>
                </c:pt>
                <c:pt idx="9">
                  <c:v>2.4562083299224131</c:v>
                </c:pt>
                <c:pt idx="10">
                  <c:v>2.3824284812882701</c:v>
                </c:pt>
                <c:pt idx="11">
                  <c:v>2.6543114277356183</c:v>
                </c:pt>
                <c:pt idx="12">
                  <c:v>2.6945946670718954</c:v>
                </c:pt>
                <c:pt idx="13">
                  <c:v>2.7974625690853232</c:v>
                </c:pt>
                <c:pt idx="14">
                  <c:v>2.5247904998526129</c:v>
                </c:pt>
                <c:pt idx="15">
                  <c:v>2.7811575072354451</c:v>
                </c:pt>
                <c:pt idx="16">
                  <c:v>2.865856602558944</c:v>
                </c:pt>
                <c:pt idx="17">
                  <c:v>2.9055831186591612</c:v>
                </c:pt>
                <c:pt idx="18">
                  <c:v>3.1109277565333291</c:v>
                </c:pt>
                <c:pt idx="19">
                  <c:v>3.3441986562414052</c:v>
                </c:pt>
                <c:pt idx="20">
                  <c:v>3.1156118272111231</c:v>
                </c:pt>
                <c:pt idx="21">
                  <c:v>3.3204524954900783</c:v>
                </c:pt>
                <c:pt idx="22">
                  <c:v>3.5120683460417581</c:v>
                </c:pt>
                <c:pt idx="23">
                  <c:v>2.9095648251029664</c:v>
                </c:pt>
                <c:pt idx="24">
                  <c:v>3.5540788871744371</c:v>
                </c:pt>
                <c:pt idx="25">
                  <c:v>3.656669134878892</c:v>
                </c:pt>
                <c:pt idx="26">
                  <c:v>3.6057000280602765</c:v>
                </c:pt>
                <c:pt idx="27">
                  <c:v>3.5550764622418414</c:v>
                </c:pt>
                <c:pt idx="28">
                  <c:v>3.1751593871919308</c:v>
                </c:pt>
                <c:pt idx="29">
                  <c:v>3.6265022386301156</c:v>
                </c:pt>
                <c:pt idx="30">
                  <c:v>3.7331954578550293</c:v>
                </c:pt>
                <c:pt idx="31">
                  <c:v>3.7204335159775996</c:v>
                </c:pt>
                <c:pt idx="32">
                  <c:v>4.0246844003606856</c:v>
                </c:pt>
                <c:pt idx="33">
                  <c:v>3.6401077251478542</c:v>
                </c:pt>
                <c:pt idx="34">
                  <c:v>4.1380198122350542</c:v>
                </c:pt>
                <c:pt idx="35">
                  <c:v>3.8259339389179496</c:v>
                </c:pt>
                <c:pt idx="36">
                  <c:v>4.1900653594771242</c:v>
                </c:pt>
                <c:pt idx="37">
                  <c:v>4.216067640863419</c:v>
                </c:pt>
                <c:pt idx="38">
                  <c:v>4.3614006045775158</c:v>
                </c:pt>
                <c:pt idx="39">
                  <c:v>4.3779084835569888</c:v>
                </c:pt>
                <c:pt idx="40">
                  <c:v>4.3106803901272723</c:v>
                </c:pt>
                <c:pt idx="41">
                  <c:v>4.3717696006051661</c:v>
                </c:pt>
                <c:pt idx="42">
                  <c:v>4.3927944592931372</c:v>
                </c:pt>
                <c:pt idx="43">
                  <c:v>4.4186850723667996</c:v>
                </c:pt>
                <c:pt idx="44">
                  <c:v>4.9222274177577292</c:v>
                </c:pt>
                <c:pt idx="45">
                  <c:v>4.8016784694773822</c:v>
                </c:pt>
                <c:pt idx="46">
                  <c:v>4.7777748039504324</c:v>
                </c:pt>
                <c:pt idx="47">
                  <c:v>4.9502623674140915</c:v>
                </c:pt>
                <c:pt idx="48">
                  <c:v>5.0545415544185284</c:v>
                </c:pt>
                <c:pt idx="49">
                  <c:v>5.2067740603056585</c:v>
                </c:pt>
                <c:pt idx="50">
                  <c:v>5.0994845868083747</c:v>
                </c:pt>
                <c:pt idx="51">
                  <c:v>5.1881676692220449</c:v>
                </c:pt>
              </c:numCache>
            </c:numRef>
          </c:yVal>
          <c:smooth val="0"/>
        </c:ser>
        <c:ser>
          <c:idx val="1"/>
          <c:order val="1"/>
          <c:tx>
            <c:strRef>
              <c:f>'CornWheatRice Yields'!$C$3</c:f>
              <c:strCache>
                <c:ptCount val="1"/>
                <c:pt idx="0">
                  <c:v>Wheat</c:v>
                </c:pt>
              </c:strCache>
            </c:strRef>
          </c:tx>
          <c:spPr>
            <a:ln w="25400">
              <a:solidFill>
                <a:srgbClr val="FF0000"/>
              </a:solidFill>
              <a:prstDash val="solid"/>
            </a:ln>
          </c:spPr>
          <c:marker>
            <c:symbol val="none"/>
          </c:marker>
          <c:xVal>
            <c:numRef>
              <c:f>'CornWheatRice Yields'!$A$6:$A$57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Yields'!$C$6:$C$57</c:f>
              <c:numCache>
                <c:formatCode>#,##0.00</c:formatCode>
                <c:ptCount val="52"/>
                <c:pt idx="0">
                  <c:v>1.1545548961424332</c:v>
                </c:pt>
                <c:pt idx="1">
                  <c:v>1.081545085472186</c:v>
                </c:pt>
                <c:pt idx="2">
                  <c:v>1.1928769613008634</c:v>
                </c:pt>
                <c:pt idx="3">
                  <c:v>1.1167192581928873</c:v>
                </c:pt>
                <c:pt idx="4">
                  <c:v>1.2267805872001483</c:v>
                </c:pt>
                <c:pt idx="5">
                  <c:v>1.2047127034862113</c:v>
                </c:pt>
                <c:pt idx="6">
                  <c:v>1.4059624017957351</c:v>
                </c:pt>
                <c:pt idx="7">
                  <c:v>1.3318734859786223</c:v>
                </c:pt>
                <c:pt idx="8">
                  <c:v>1.4461039599096002</c:v>
                </c:pt>
                <c:pt idx="9">
                  <c:v>1.3957185617746437</c:v>
                </c:pt>
                <c:pt idx="10">
                  <c:v>1.4809763309321236</c:v>
                </c:pt>
                <c:pt idx="11">
                  <c:v>1.617587056257521</c:v>
                </c:pt>
                <c:pt idx="12">
                  <c:v>1.6002181128496917</c:v>
                </c:pt>
                <c:pt idx="13">
                  <c:v>1.6867207298530158</c:v>
                </c:pt>
                <c:pt idx="14">
                  <c:v>1.6144728350285875</c:v>
                </c:pt>
                <c:pt idx="15">
                  <c:v>1.5649690686879265</c:v>
                </c:pt>
                <c:pt idx="16">
                  <c:v>1.7777682432896273</c:v>
                </c:pt>
                <c:pt idx="17">
                  <c:v>1.6633679057563966</c:v>
                </c:pt>
                <c:pt idx="18">
                  <c:v>1.9175979240024115</c:v>
                </c:pt>
                <c:pt idx="19">
                  <c:v>1.83269104156608</c:v>
                </c:pt>
                <c:pt idx="20">
                  <c:v>1.8398698190383325</c:v>
                </c:pt>
                <c:pt idx="21">
                  <c:v>1.8625973688946931</c:v>
                </c:pt>
                <c:pt idx="22">
                  <c:v>1.9833566181252176</c:v>
                </c:pt>
                <c:pt idx="23">
                  <c:v>2.1063877906951456</c:v>
                </c:pt>
                <c:pt idx="24">
                  <c:v>2.1967246373058114</c:v>
                </c:pt>
                <c:pt idx="25">
                  <c:v>2.1529809508062621</c:v>
                </c:pt>
                <c:pt idx="26">
                  <c:v>2.2996643190943198</c:v>
                </c:pt>
                <c:pt idx="27">
                  <c:v>2.2659675491964539</c:v>
                </c:pt>
                <c:pt idx="28">
                  <c:v>2.273180403712169</c:v>
                </c:pt>
                <c:pt idx="29">
                  <c:v>2.3555204057737935</c:v>
                </c:pt>
                <c:pt idx="30">
                  <c:v>2.5487565742484253</c:v>
                </c:pt>
                <c:pt idx="31">
                  <c:v>2.439780939982942</c:v>
                </c:pt>
                <c:pt idx="32">
                  <c:v>2.5336911929604931</c:v>
                </c:pt>
                <c:pt idx="33">
                  <c:v>2.5265105589837318</c:v>
                </c:pt>
                <c:pt idx="34">
                  <c:v>2.451792092853192</c:v>
                </c:pt>
                <c:pt idx="35">
                  <c:v>2.4802897815102787</c:v>
                </c:pt>
                <c:pt idx="36">
                  <c:v>2.56005318493211</c:v>
                </c:pt>
                <c:pt idx="37">
                  <c:v>2.6949305987978995</c:v>
                </c:pt>
                <c:pt idx="38">
                  <c:v>2.6931157321461967</c:v>
                </c:pt>
                <c:pt idx="39">
                  <c:v>2.7577927845370853</c:v>
                </c:pt>
                <c:pt idx="40">
                  <c:v>2.7026745156206546</c:v>
                </c:pt>
                <c:pt idx="41">
                  <c:v>2.7201290256419819</c:v>
                </c:pt>
                <c:pt idx="42">
                  <c:v>2.6643076318595993</c:v>
                </c:pt>
                <c:pt idx="43">
                  <c:v>2.6721800603473582</c:v>
                </c:pt>
                <c:pt idx="44">
                  <c:v>2.899867656313627</c:v>
                </c:pt>
                <c:pt idx="45">
                  <c:v>2.8291895648357275</c:v>
                </c:pt>
                <c:pt idx="46">
                  <c:v>2.8087885370186259</c:v>
                </c:pt>
                <c:pt idx="47">
                  <c:v>2.8177765496914433</c:v>
                </c:pt>
                <c:pt idx="48">
                  <c:v>3.0403808302384197</c:v>
                </c:pt>
                <c:pt idx="49">
                  <c:v>3.0386412246868093</c:v>
                </c:pt>
                <c:pt idx="50">
                  <c:v>2.9821749166452935</c:v>
                </c:pt>
                <c:pt idx="51">
                  <c:v>3.133794366552987</c:v>
                </c:pt>
              </c:numCache>
            </c:numRef>
          </c:yVal>
          <c:smooth val="0"/>
        </c:ser>
        <c:ser>
          <c:idx val="2"/>
          <c:order val="2"/>
          <c:tx>
            <c:strRef>
              <c:f>'CornWheatRice Yields'!$D$3</c:f>
              <c:strCache>
                <c:ptCount val="1"/>
                <c:pt idx="0">
                  <c:v>Rice</c:v>
                </c:pt>
              </c:strCache>
            </c:strRef>
          </c:tx>
          <c:spPr>
            <a:ln w="25400">
              <a:solidFill>
                <a:srgbClr val="9BBB59">
                  <a:lumMod val="50000"/>
                </a:srgbClr>
              </a:solidFill>
            </a:ln>
          </c:spPr>
          <c:marker>
            <c:symbol val="none"/>
          </c:marker>
          <c:xVal>
            <c:numRef>
              <c:f>'CornWheatRice Yields'!$A$6:$A$57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'CornWheatRice Yields'!$D$6:$D$57</c:f>
              <c:numCache>
                <c:formatCode>0.00</c:formatCode>
                <c:ptCount val="52"/>
                <c:pt idx="0">
                  <c:v>1.2553979590138007</c:v>
                </c:pt>
                <c:pt idx="1">
                  <c:v>1.2718340140048525</c:v>
                </c:pt>
                <c:pt idx="2">
                  <c:v>1.2955754725649229</c:v>
                </c:pt>
                <c:pt idx="3">
                  <c:v>1.3950607093626961</c:v>
                </c:pt>
                <c:pt idx="4">
                  <c:v>1.4412573861869333</c:v>
                </c:pt>
                <c:pt idx="5">
                  <c:v>1.3947340824574281</c:v>
                </c:pt>
                <c:pt idx="6">
                  <c:v>1.4242315740895455</c:v>
                </c:pt>
                <c:pt idx="7">
                  <c:v>1.48714859437751</c:v>
                </c:pt>
                <c:pt idx="8">
                  <c:v>1.5152846577963031</c:v>
                </c:pt>
                <c:pt idx="9">
                  <c:v>1.5300397181683989</c:v>
                </c:pt>
                <c:pt idx="10">
                  <c:v>1.6057593004409936</c:v>
                </c:pt>
                <c:pt idx="11">
                  <c:v>1.6003144677410981</c:v>
                </c:pt>
                <c:pt idx="12">
                  <c:v>1.5766688298948068</c:v>
                </c:pt>
                <c:pt idx="13">
                  <c:v>1.6696627729513971</c:v>
                </c:pt>
                <c:pt idx="14">
                  <c:v>1.6376527620540509</c:v>
                </c:pt>
                <c:pt idx="15">
                  <c:v>1.7016751087664725</c:v>
                </c:pt>
                <c:pt idx="16">
                  <c:v>1.6690680640152025</c:v>
                </c:pt>
                <c:pt idx="17">
                  <c:v>1.750211673162642</c:v>
                </c:pt>
                <c:pt idx="18">
                  <c:v>1.8298607716907094</c:v>
                </c:pt>
                <c:pt idx="19">
                  <c:v>1.8126304617017512</c:v>
                </c:pt>
                <c:pt idx="20">
                  <c:v>1.8690136553748995</c:v>
                </c:pt>
                <c:pt idx="21">
                  <c:v>1.9248623376623377</c:v>
                </c:pt>
                <c:pt idx="22">
                  <c:v>2.0279094260136916</c:v>
                </c:pt>
                <c:pt idx="23">
                  <c:v>2.1225062753694344</c:v>
                </c:pt>
                <c:pt idx="24">
                  <c:v>2.1986853339071404</c:v>
                </c:pt>
                <c:pt idx="25">
                  <c:v>2.1971284063899175</c:v>
                </c:pt>
                <c:pt idx="26">
                  <c:v>2.1825369970098545</c:v>
                </c:pt>
                <c:pt idx="27">
                  <c:v>2.2278692233723625</c:v>
                </c:pt>
                <c:pt idx="28">
                  <c:v>2.2657420419969712</c:v>
                </c:pt>
                <c:pt idx="29">
                  <c:v>2.3357327939057311</c:v>
                </c:pt>
                <c:pt idx="30">
                  <c:v>2.3908318930909189</c:v>
                </c:pt>
                <c:pt idx="31">
                  <c:v>2.3950408852365648</c:v>
                </c:pt>
                <c:pt idx="32">
                  <c:v>2.4167326597487713</c:v>
                </c:pt>
                <c:pt idx="33">
                  <c:v>2.4406187212726724</c:v>
                </c:pt>
                <c:pt idx="34">
                  <c:v>2.4714473809232942</c:v>
                </c:pt>
                <c:pt idx="35">
                  <c:v>2.4859186259706645</c:v>
                </c:pt>
                <c:pt idx="36">
                  <c:v>2.5411405688852167</c:v>
                </c:pt>
                <c:pt idx="37">
                  <c:v>2.5538073140506765</c:v>
                </c:pt>
                <c:pt idx="38">
                  <c:v>2.5792220175816714</c:v>
                </c:pt>
                <c:pt idx="39">
                  <c:v>2.6252790966251762</c:v>
                </c:pt>
                <c:pt idx="40">
                  <c:v>2.6190772944641605</c:v>
                </c:pt>
                <c:pt idx="41">
                  <c:v>2.6393572598974577</c:v>
                </c:pt>
                <c:pt idx="42">
                  <c:v>2.5746038013288315</c:v>
                </c:pt>
                <c:pt idx="43">
                  <c:v>2.6273766550359303</c:v>
                </c:pt>
                <c:pt idx="44">
                  <c:v>2.6404283484480273</c:v>
                </c:pt>
                <c:pt idx="45">
                  <c:v>2.7124072978752447</c:v>
                </c:pt>
                <c:pt idx="46">
                  <c:v>2.7177122368276283</c:v>
                </c:pt>
                <c:pt idx="47">
                  <c:v>2.7922143253318197</c:v>
                </c:pt>
                <c:pt idx="48">
                  <c:v>2.8362083678358543</c:v>
                </c:pt>
                <c:pt idx="49">
                  <c:v>2.8262933049810735</c:v>
                </c:pt>
                <c:pt idx="50">
                  <c:v>2.848902892863256</c:v>
                </c:pt>
                <c:pt idx="51">
                  <c:v>2.9205922531177015</c:v>
                </c:pt>
              </c:numCache>
            </c:numRef>
          </c:yVal>
          <c:smooth val="0"/>
        </c:ser>
        <c:dLbls>
          <c:showLegendKey val="0"/>
          <c:showVal val="0"/>
          <c:showCatName val="0"/>
          <c:showSerName val="0"/>
          <c:showPercent val="0"/>
          <c:showBubbleSize val="0"/>
        </c:dLbls>
        <c:axId val="105833600"/>
        <c:axId val="105835520"/>
      </c:scatterChart>
      <c:valAx>
        <c:axId val="105833600"/>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sz="1000" b="0" i="1" baseline="0">
                    <a:effectLst/>
                  </a:rPr>
                  <a:t>Source: USDA</a:t>
                </a:r>
                <a:endParaRPr lang="en-US" sz="1000">
                  <a:effectLst/>
                </a:endParaRP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5835520"/>
        <c:crosses val="autoZero"/>
        <c:crossBetween val="midCat"/>
        <c:majorUnit val="10"/>
      </c:valAx>
      <c:valAx>
        <c:axId val="105835520"/>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sz="1200" b="0" i="0" baseline="0">
                    <a:effectLst/>
                  </a:rPr>
                  <a:t>Tons Per Hectare</a:t>
                </a:r>
                <a:endParaRPr lang="en-US" sz="1200">
                  <a:effectLst/>
                </a:endParaRPr>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5833600"/>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Monthly Food Price Index, </a:t>
            </a:r>
            <a:br>
              <a:rPr lang="en-US" sz="1400" b="0" i="0" baseline="0">
                <a:effectLst/>
              </a:rPr>
            </a:br>
            <a:r>
              <a:rPr lang="en-US" sz="1400" b="0" i="0" baseline="0">
                <a:effectLst/>
              </a:rPr>
              <a:t>January 1990 - August 2012</a:t>
            </a:r>
            <a:endParaRPr lang="en-US" sz="1400">
              <a:effectLst/>
            </a:endParaRPr>
          </a:p>
        </c:rich>
      </c:tx>
      <c:layout>
        <c:manualLayout>
          <c:xMode val="edge"/>
          <c:yMode val="edge"/>
          <c:x val="0.27351821642196844"/>
          <c:y val="3.7395228884590584E-2"/>
        </c:manualLayout>
      </c:layout>
      <c:overlay val="0"/>
      <c:spPr>
        <a:noFill/>
        <a:ln w="25400">
          <a:noFill/>
        </a:ln>
      </c:spPr>
    </c:title>
    <c:autoTitleDeleted val="0"/>
    <c:plotArea>
      <c:layout>
        <c:manualLayout>
          <c:layoutTarget val="inner"/>
          <c:xMode val="edge"/>
          <c:yMode val="edge"/>
          <c:x val="0.11908646003262642"/>
          <c:y val="0.15667311411992263"/>
          <c:w val="0.81729200652528544"/>
          <c:h val="0.72147001934235977"/>
        </c:manualLayout>
      </c:layout>
      <c:scatterChart>
        <c:scatterStyle val="lineMarker"/>
        <c:varyColors val="0"/>
        <c:ser>
          <c:idx val="0"/>
          <c:order val="0"/>
          <c:spPr>
            <a:ln w="19050">
              <a:solidFill>
                <a:srgbClr val="000000"/>
              </a:solidFill>
              <a:prstDash val="solid"/>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Prices'!$G$6:$G$277</c:f>
              <c:numCache>
                <c:formatCode>0.0</c:formatCode>
                <c:ptCount val="272"/>
                <c:pt idx="0">
                  <c:v>106.89901135496135</c:v>
                </c:pt>
                <c:pt idx="1">
                  <c:v>108.07544781193134</c:v>
                </c:pt>
                <c:pt idx="2">
                  <c:v>106.37921253726472</c:v>
                </c:pt>
                <c:pt idx="3">
                  <c:v>112.81510705969391</c:v>
                </c:pt>
                <c:pt idx="4">
                  <c:v>109.85971063973101</c:v>
                </c:pt>
                <c:pt idx="5">
                  <c:v>107.36851643653536</c:v>
                </c:pt>
                <c:pt idx="6">
                  <c:v>104.16730292620737</c:v>
                </c:pt>
                <c:pt idx="7">
                  <c:v>100.90446540566899</c:v>
                </c:pt>
                <c:pt idx="8">
                  <c:v>102.43626783543269</c:v>
                </c:pt>
                <c:pt idx="9">
                  <c:v>101.38723079237923</c:v>
                </c:pt>
                <c:pt idx="10">
                  <c:v>101.0789116752735</c:v>
                </c:pt>
                <c:pt idx="11">
                  <c:v>103.89175982800917</c:v>
                </c:pt>
                <c:pt idx="12">
                  <c:v>103.13392114075987</c:v>
                </c:pt>
                <c:pt idx="13">
                  <c:v>104.95931975426141</c:v>
                </c:pt>
                <c:pt idx="14">
                  <c:v>103.63551571386421</c:v>
                </c:pt>
                <c:pt idx="15">
                  <c:v>100.69786330395195</c:v>
                </c:pt>
                <c:pt idx="16">
                  <c:v>99.528045360643731</c:v>
                </c:pt>
                <c:pt idx="17">
                  <c:v>100.75798328446237</c:v>
                </c:pt>
                <c:pt idx="18">
                  <c:v>100.91004724074008</c:v>
                </c:pt>
                <c:pt idx="19">
                  <c:v>101.40353678919678</c:v>
                </c:pt>
                <c:pt idx="20">
                  <c:v>103.56984030838066</c:v>
                </c:pt>
                <c:pt idx="21">
                  <c:v>106.9457613221049</c:v>
                </c:pt>
                <c:pt idx="22">
                  <c:v>108.90529703613484</c:v>
                </c:pt>
                <c:pt idx="23">
                  <c:v>108.83954705169529</c:v>
                </c:pt>
                <c:pt idx="24">
                  <c:v>108.80374437712777</c:v>
                </c:pt>
                <c:pt idx="25">
                  <c:v>110.38332905646239</c:v>
                </c:pt>
                <c:pt idx="26">
                  <c:v>109.1066471034359</c:v>
                </c:pt>
                <c:pt idx="27">
                  <c:v>108.6751620780622</c:v>
                </c:pt>
                <c:pt idx="28">
                  <c:v>109.79640982487135</c:v>
                </c:pt>
                <c:pt idx="29">
                  <c:v>111.91459888276046</c:v>
                </c:pt>
                <c:pt idx="30">
                  <c:v>109.68204793352243</c:v>
                </c:pt>
                <c:pt idx="31">
                  <c:v>107.63795553416819</c:v>
                </c:pt>
                <c:pt idx="32">
                  <c:v>108.06669641912535</c:v>
                </c:pt>
                <c:pt idx="33">
                  <c:v>105.88310561202037</c:v>
                </c:pt>
                <c:pt idx="34">
                  <c:v>107.86632359752269</c:v>
                </c:pt>
                <c:pt idx="35">
                  <c:v>103.91147365922583</c:v>
                </c:pt>
                <c:pt idx="36">
                  <c:v>105.1513245720206</c:v>
                </c:pt>
                <c:pt idx="37">
                  <c:v>105.10036854546483</c:v>
                </c:pt>
                <c:pt idx="38">
                  <c:v>106.73288373637082</c:v>
                </c:pt>
                <c:pt idx="39">
                  <c:v>105.51569301489575</c:v>
                </c:pt>
                <c:pt idx="40">
                  <c:v>105.50847152373117</c:v>
                </c:pt>
                <c:pt idx="41">
                  <c:v>102.96401444034412</c:v>
                </c:pt>
                <c:pt idx="42">
                  <c:v>103.33810758862208</c:v>
                </c:pt>
                <c:pt idx="43">
                  <c:v>101.34467772103994</c:v>
                </c:pt>
                <c:pt idx="44">
                  <c:v>101.93461594429982</c:v>
                </c:pt>
                <c:pt idx="45">
                  <c:v>103.54453460482274</c:v>
                </c:pt>
                <c:pt idx="46">
                  <c:v>106.49353324077242</c:v>
                </c:pt>
                <c:pt idx="47">
                  <c:v>107.87592807904502</c:v>
                </c:pt>
                <c:pt idx="48">
                  <c:v>109.07424887714362</c:v>
                </c:pt>
                <c:pt idx="49">
                  <c:v>108.33403315374468</c:v>
                </c:pt>
                <c:pt idx="50">
                  <c:v>107.86204889939481</c:v>
                </c:pt>
                <c:pt idx="51">
                  <c:v>105.34710997763926</c:v>
                </c:pt>
                <c:pt idx="52">
                  <c:v>108.5254397939409</c:v>
                </c:pt>
                <c:pt idx="53">
                  <c:v>108.0251176111795</c:v>
                </c:pt>
                <c:pt idx="54">
                  <c:v>105.70241452109444</c:v>
                </c:pt>
                <c:pt idx="55">
                  <c:v>109.03713167403664</c:v>
                </c:pt>
                <c:pt idx="56">
                  <c:v>113.44067709514933</c:v>
                </c:pt>
                <c:pt idx="57">
                  <c:v>114.43973273428293</c:v>
                </c:pt>
                <c:pt idx="58">
                  <c:v>118.40023884094472</c:v>
                </c:pt>
                <c:pt idx="59">
                  <c:v>118.54227116224018</c:v>
                </c:pt>
                <c:pt idx="60">
                  <c:v>118.16525941147681</c:v>
                </c:pt>
                <c:pt idx="61">
                  <c:v>120.5479700846096</c:v>
                </c:pt>
                <c:pt idx="62">
                  <c:v>121.79072423570472</c:v>
                </c:pt>
                <c:pt idx="63">
                  <c:v>118.33465331326528</c:v>
                </c:pt>
                <c:pt idx="64">
                  <c:v>118.58555918865207</c:v>
                </c:pt>
                <c:pt idx="65">
                  <c:v>120.76694844862124</c:v>
                </c:pt>
                <c:pt idx="66">
                  <c:v>126.45092731739484</c:v>
                </c:pt>
                <c:pt idx="67">
                  <c:v>124.15721875581983</c:v>
                </c:pt>
                <c:pt idx="68">
                  <c:v>125.34004186537872</c:v>
                </c:pt>
                <c:pt idx="69">
                  <c:v>129.06198763996323</c:v>
                </c:pt>
                <c:pt idx="70">
                  <c:v>127.92573386569663</c:v>
                </c:pt>
                <c:pt idx="71">
                  <c:v>126.78717392020941</c:v>
                </c:pt>
                <c:pt idx="72">
                  <c:v>128.78381103609306</c:v>
                </c:pt>
                <c:pt idx="73">
                  <c:v>129.26637079343027</c:v>
                </c:pt>
                <c:pt idx="74">
                  <c:v>130.84240263559479</c:v>
                </c:pt>
                <c:pt idx="75">
                  <c:v>134.13153165509038</c:v>
                </c:pt>
                <c:pt idx="76">
                  <c:v>137.30381869728672</c:v>
                </c:pt>
                <c:pt idx="77">
                  <c:v>134.4777511203028</c:v>
                </c:pt>
                <c:pt idx="78">
                  <c:v>133.05937532643614</c:v>
                </c:pt>
                <c:pt idx="79">
                  <c:v>132.29701631472045</c:v>
                </c:pt>
                <c:pt idx="80">
                  <c:v>127.01088377895421</c:v>
                </c:pt>
                <c:pt idx="81">
                  <c:v>122.8373707992501</c:v>
                </c:pt>
                <c:pt idx="82">
                  <c:v>119.86360556347613</c:v>
                </c:pt>
                <c:pt idx="83">
                  <c:v>119.67014591341209</c:v>
                </c:pt>
                <c:pt idx="84">
                  <c:v>118.14539701915857</c:v>
                </c:pt>
                <c:pt idx="85">
                  <c:v>119.64242375322505</c:v>
                </c:pt>
                <c:pt idx="86">
                  <c:v>122.25972580538351</c:v>
                </c:pt>
                <c:pt idx="87">
                  <c:v>122.3723660321827</c:v>
                </c:pt>
                <c:pt idx="88">
                  <c:v>122.04210350084338</c:v>
                </c:pt>
                <c:pt idx="89">
                  <c:v>118.03131984003696</c:v>
                </c:pt>
                <c:pt idx="90">
                  <c:v>115.08264709017344</c:v>
                </c:pt>
                <c:pt idx="91">
                  <c:v>116.7208743002127</c:v>
                </c:pt>
                <c:pt idx="92">
                  <c:v>116.07644398335472</c:v>
                </c:pt>
                <c:pt idx="93">
                  <c:v>117.59636931420954</c:v>
                </c:pt>
                <c:pt idx="94">
                  <c:v>118.50094144171896</c:v>
                </c:pt>
                <c:pt idx="95">
                  <c:v>115.08287278983711</c:v>
                </c:pt>
                <c:pt idx="96">
                  <c:v>113.59482655349723</c:v>
                </c:pt>
                <c:pt idx="97">
                  <c:v>113.1637615738629</c:v>
                </c:pt>
                <c:pt idx="98">
                  <c:v>112.77497331168867</c:v>
                </c:pt>
                <c:pt idx="99">
                  <c:v>111.4146091835829</c:v>
                </c:pt>
                <c:pt idx="100">
                  <c:v>109.80690508129406</c:v>
                </c:pt>
                <c:pt idx="101">
                  <c:v>106.70169754436481</c:v>
                </c:pt>
                <c:pt idx="102">
                  <c:v>105.14836140872237</c:v>
                </c:pt>
                <c:pt idx="103">
                  <c:v>102.81605853113426</c:v>
                </c:pt>
                <c:pt idx="104">
                  <c:v>101.20656320850202</c:v>
                </c:pt>
                <c:pt idx="105">
                  <c:v>102.67661820181524</c:v>
                </c:pt>
                <c:pt idx="106">
                  <c:v>103.12246249823558</c:v>
                </c:pt>
                <c:pt idx="107">
                  <c:v>102.59811902831427</c:v>
                </c:pt>
                <c:pt idx="108">
                  <c:v>101.08434764562099</c:v>
                </c:pt>
                <c:pt idx="109">
                  <c:v>96.827206288722195</c:v>
                </c:pt>
                <c:pt idx="110">
                  <c:v>94.728910269751481</c:v>
                </c:pt>
                <c:pt idx="111">
                  <c:v>92.398723577288038</c:v>
                </c:pt>
                <c:pt idx="112">
                  <c:v>91.723397838308273</c:v>
                </c:pt>
                <c:pt idx="113">
                  <c:v>90.993435549283362</c:v>
                </c:pt>
                <c:pt idx="114">
                  <c:v>88.338039172421361</c:v>
                </c:pt>
                <c:pt idx="115">
                  <c:v>91.062303596850995</c:v>
                </c:pt>
                <c:pt idx="116">
                  <c:v>91.725113367333137</c:v>
                </c:pt>
                <c:pt idx="117">
                  <c:v>90.882541809761946</c:v>
                </c:pt>
                <c:pt idx="118">
                  <c:v>90.394276040306309</c:v>
                </c:pt>
                <c:pt idx="119">
                  <c:v>88.509689839167024</c:v>
                </c:pt>
                <c:pt idx="120">
                  <c:v>87.758605954575344</c:v>
                </c:pt>
                <c:pt idx="121">
                  <c:v>89.115383865582388</c:v>
                </c:pt>
                <c:pt idx="122">
                  <c:v>89.002235327651178</c:v>
                </c:pt>
                <c:pt idx="123">
                  <c:v>89.205564172237416</c:v>
                </c:pt>
                <c:pt idx="124">
                  <c:v>89.285161924240413</c:v>
                </c:pt>
                <c:pt idx="125">
                  <c:v>90.27406254611391</c:v>
                </c:pt>
                <c:pt idx="126">
                  <c:v>90.729391806482397</c:v>
                </c:pt>
                <c:pt idx="127">
                  <c:v>90.509427495401496</c:v>
                </c:pt>
                <c:pt idx="128">
                  <c:v>90.17053173474369</c:v>
                </c:pt>
                <c:pt idx="129">
                  <c:v>91.911323856713693</c:v>
                </c:pt>
                <c:pt idx="130">
                  <c:v>91.923890661924034</c:v>
                </c:pt>
                <c:pt idx="131">
                  <c:v>94.416366923241185</c:v>
                </c:pt>
                <c:pt idx="132">
                  <c:v>92.156538286675854</c:v>
                </c:pt>
                <c:pt idx="133">
                  <c:v>92.976121341912702</c:v>
                </c:pt>
                <c:pt idx="134">
                  <c:v>94.331175320089514</c:v>
                </c:pt>
                <c:pt idx="135">
                  <c:v>92.695001689523522</c:v>
                </c:pt>
                <c:pt idx="136">
                  <c:v>94.154672946507702</c:v>
                </c:pt>
                <c:pt idx="137">
                  <c:v>92.992733071147967</c:v>
                </c:pt>
                <c:pt idx="138">
                  <c:v>95.529043915078361</c:v>
                </c:pt>
                <c:pt idx="139">
                  <c:v>95.197592354034043</c:v>
                </c:pt>
                <c:pt idx="140">
                  <c:v>93.663688826377282</c:v>
                </c:pt>
                <c:pt idx="141">
                  <c:v>91.728617831842556</c:v>
                </c:pt>
                <c:pt idx="142">
                  <c:v>92.617422574156521</c:v>
                </c:pt>
                <c:pt idx="143">
                  <c:v>92.229009699197945</c:v>
                </c:pt>
                <c:pt idx="144">
                  <c:v>90.139993424494165</c:v>
                </c:pt>
                <c:pt idx="145">
                  <c:v>88.258113482845019</c:v>
                </c:pt>
                <c:pt idx="146">
                  <c:v>88.344400383396064</c:v>
                </c:pt>
                <c:pt idx="147">
                  <c:v>86.739687723394695</c:v>
                </c:pt>
                <c:pt idx="148">
                  <c:v>85.215720600193649</c:v>
                </c:pt>
                <c:pt idx="149">
                  <c:v>86.043333462635445</c:v>
                </c:pt>
                <c:pt idx="150">
                  <c:v>88.081116423810755</c:v>
                </c:pt>
                <c:pt idx="151">
                  <c:v>89.605437531773276</c:v>
                </c:pt>
                <c:pt idx="152">
                  <c:v>92.916808075989309</c:v>
                </c:pt>
                <c:pt idx="153">
                  <c:v>93.39298140003315</c:v>
                </c:pt>
                <c:pt idx="154">
                  <c:v>95.147274415000183</c:v>
                </c:pt>
                <c:pt idx="155">
                  <c:v>94.581450850685741</c:v>
                </c:pt>
                <c:pt idx="156">
                  <c:v>95.474361974941417</c:v>
                </c:pt>
                <c:pt idx="157">
                  <c:v>97.15121661420055</c:v>
                </c:pt>
                <c:pt idx="158">
                  <c:v>95.318321566275998</c:v>
                </c:pt>
                <c:pt idx="159">
                  <c:v>94.481414561454358</c:v>
                </c:pt>
                <c:pt idx="160">
                  <c:v>95.365153583972386</c:v>
                </c:pt>
                <c:pt idx="161">
                  <c:v>95.67253241436066</c:v>
                </c:pt>
                <c:pt idx="162">
                  <c:v>94.757363283798327</c:v>
                </c:pt>
                <c:pt idx="163">
                  <c:v>96.25661312238303</c:v>
                </c:pt>
                <c:pt idx="164">
                  <c:v>98.20665477991173</c:v>
                </c:pt>
                <c:pt idx="165">
                  <c:v>100.83264584369303</c:v>
                </c:pt>
                <c:pt idx="166">
                  <c:v>103.61433295428654</c:v>
                </c:pt>
                <c:pt idx="167">
                  <c:v>105.30744169035259</c:v>
                </c:pt>
                <c:pt idx="168">
                  <c:v>108.46436790057929</c:v>
                </c:pt>
                <c:pt idx="169">
                  <c:v>109.59049489417464</c:v>
                </c:pt>
                <c:pt idx="170">
                  <c:v>113.22601713222268</c:v>
                </c:pt>
                <c:pt idx="171">
                  <c:v>113.42338757652965</c:v>
                </c:pt>
                <c:pt idx="172">
                  <c:v>111.91948288562781</c:v>
                </c:pt>
                <c:pt idx="173">
                  <c:v>113.98708935188138</c:v>
                </c:pt>
                <c:pt idx="174">
                  <c:v>113.03623214715803</c:v>
                </c:pt>
                <c:pt idx="175">
                  <c:v>112.36511834821493</c:v>
                </c:pt>
                <c:pt idx="176">
                  <c:v>112.7911867536022</c:v>
                </c:pt>
                <c:pt idx="177">
                  <c:v>112.13516221452794</c:v>
                </c:pt>
                <c:pt idx="178">
                  <c:v>113.72173405330747</c:v>
                </c:pt>
                <c:pt idx="179">
                  <c:v>114.43535657829251</c:v>
                </c:pt>
                <c:pt idx="180">
                  <c:v>114.85187578913755</c:v>
                </c:pt>
                <c:pt idx="181">
                  <c:v>114.17736991613302</c:v>
                </c:pt>
                <c:pt idx="182">
                  <c:v>117.03560022910884</c:v>
                </c:pt>
                <c:pt idx="183">
                  <c:v>114.80227136647909</c:v>
                </c:pt>
                <c:pt idx="184">
                  <c:v>115.96772960055821</c:v>
                </c:pt>
                <c:pt idx="185">
                  <c:v>117.14788924110486</c:v>
                </c:pt>
                <c:pt idx="186">
                  <c:v>117.02092383442127</c:v>
                </c:pt>
                <c:pt idx="187">
                  <c:v>116.85691699963316</c:v>
                </c:pt>
                <c:pt idx="188">
                  <c:v>118.7553831835728</c:v>
                </c:pt>
                <c:pt idx="189">
                  <c:v>120.43670915410218</c:v>
                </c:pt>
                <c:pt idx="190">
                  <c:v>119.16398959422446</c:v>
                </c:pt>
                <c:pt idx="191">
                  <c:v>121.50366816223951</c:v>
                </c:pt>
                <c:pt idx="192">
                  <c:v>121.18322845539254</c:v>
                </c:pt>
                <c:pt idx="193">
                  <c:v>125.69090479902566</c:v>
                </c:pt>
                <c:pt idx="194">
                  <c:v>123.16736849499921</c:v>
                </c:pt>
                <c:pt idx="195">
                  <c:v>124.87737442562975</c:v>
                </c:pt>
                <c:pt idx="196">
                  <c:v>125.59141400424859</c:v>
                </c:pt>
                <c:pt idx="197">
                  <c:v>124.802452628618</c:v>
                </c:pt>
                <c:pt idx="198">
                  <c:v>127.77703181526877</c:v>
                </c:pt>
                <c:pt idx="199">
                  <c:v>126.03942076469822</c:v>
                </c:pt>
                <c:pt idx="200">
                  <c:v>125.20430523916504</c:v>
                </c:pt>
                <c:pt idx="201">
                  <c:v>128.38765728203029</c:v>
                </c:pt>
                <c:pt idx="202">
                  <c:v>132.61682077248395</c:v>
                </c:pt>
                <c:pt idx="203">
                  <c:v>134.51303557126067</c:v>
                </c:pt>
                <c:pt idx="204">
                  <c:v>133.98295851686106</c:v>
                </c:pt>
                <c:pt idx="205">
                  <c:v>136.55284056478763</c:v>
                </c:pt>
                <c:pt idx="206">
                  <c:v>137.44749933707769</c:v>
                </c:pt>
                <c:pt idx="207">
                  <c:v>140.72088908821866</c:v>
                </c:pt>
                <c:pt idx="208">
                  <c:v>144.84154826644291</c:v>
                </c:pt>
                <c:pt idx="209">
                  <c:v>154.11328914439457</c:v>
                </c:pt>
                <c:pt idx="210">
                  <c:v>160.27882342555029</c:v>
                </c:pt>
                <c:pt idx="211">
                  <c:v>166.55155514859419</c:v>
                </c:pt>
                <c:pt idx="212">
                  <c:v>175.50013164698802</c:v>
                </c:pt>
                <c:pt idx="213">
                  <c:v>178.47783515243</c:v>
                </c:pt>
                <c:pt idx="214">
                  <c:v>185.3775855812267</c:v>
                </c:pt>
                <c:pt idx="215">
                  <c:v>190.98410210972165</c:v>
                </c:pt>
                <c:pt idx="216">
                  <c:v>199.79846423778497</c:v>
                </c:pt>
                <c:pt idx="217">
                  <c:v>215.38789274359644</c:v>
                </c:pt>
                <c:pt idx="218">
                  <c:v>218.28860046350067</c:v>
                </c:pt>
                <c:pt idx="219">
                  <c:v>217.34789244831313</c:v>
                </c:pt>
                <c:pt idx="220">
                  <c:v>218.50423562821504</c:v>
                </c:pt>
                <c:pt idx="221">
                  <c:v>224.39714179320339</c:v>
                </c:pt>
                <c:pt idx="222">
                  <c:v>220.44257233755715</c:v>
                </c:pt>
                <c:pt idx="223">
                  <c:v>208.85707715418741</c:v>
                </c:pt>
                <c:pt idx="224">
                  <c:v>196.72891617113527</c:v>
                </c:pt>
                <c:pt idx="225">
                  <c:v>172.5608892587764</c:v>
                </c:pt>
                <c:pt idx="226">
                  <c:v>157.26869588506244</c:v>
                </c:pt>
                <c:pt idx="227">
                  <c:v>148.12991288699331</c:v>
                </c:pt>
                <c:pt idx="228">
                  <c:v>146.29214879285061</c:v>
                </c:pt>
                <c:pt idx="229">
                  <c:v>141.29647359812404</c:v>
                </c:pt>
                <c:pt idx="230">
                  <c:v>143.10479308328286</c:v>
                </c:pt>
                <c:pt idx="231">
                  <c:v>147.44788725499083</c:v>
                </c:pt>
                <c:pt idx="232">
                  <c:v>157.56849098624417</c:v>
                </c:pt>
                <c:pt idx="233">
                  <c:v>158.11072139347499</c:v>
                </c:pt>
                <c:pt idx="234">
                  <c:v>154.24010294447643</c:v>
                </c:pt>
                <c:pt idx="235">
                  <c:v>159.49910202301584</c:v>
                </c:pt>
                <c:pt idx="236">
                  <c:v>159.9183788692977</c:v>
                </c:pt>
                <c:pt idx="237">
                  <c:v>162.96909741792513</c:v>
                </c:pt>
                <c:pt idx="238">
                  <c:v>174.87180913275259</c:v>
                </c:pt>
                <c:pt idx="239">
                  <c:v>178.07236190804414</c:v>
                </c:pt>
                <c:pt idx="240">
                  <c:v>179.99571627044674</c:v>
                </c:pt>
                <c:pt idx="241">
                  <c:v>176.06900608968351</c:v>
                </c:pt>
                <c:pt idx="242">
                  <c:v>168.51131675696951</c:v>
                </c:pt>
                <c:pt idx="243">
                  <c:v>170.16587605730604</c:v>
                </c:pt>
                <c:pt idx="244">
                  <c:v>169.64170430464134</c:v>
                </c:pt>
                <c:pt idx="245">
                  <c:v>168.22037930715612</c:v>
                </c:pt>
                <c:pt idx="246">
                  <c:v>172.66830259948921</c:v>
                </c:pt>
                <c:pt idx="247">
                  <c:v>182.99846275822412</c:v>
                </c:pt>
                <c:pt idx="248">
                  <c:v>194.18529065523586</c:v>
                </c:pt>
                <c:pt idx="249">
                  <c:v>204.99676528205106</c:v>
                </c:pt>
                <c:pt idx="250">
                  <c:v>212.86415679435791</c:v>
                </c:pt>
                <c:pt idx="251">
                  <c:v>223.3098879283188</c:v>
                </c:pt>
                <c:pt idx="252">
                  <c:v>231.33532663195527</c:v>
                </c:pt>
                <c:pt idx="253">
                  <c:v>237.92472647018465</c:v>
                </c:pt>
                <c:pt idx="254">
                  <c:v>231.97834085171851</c:v>
                </c:pt>
                <c:pt idx="255">
                  <c:v>234.87584906892647</c:v>
                </c:pt>
                <c:pt idx="256">
                  <c:v>231.60393616435465</c:v>
                </c:pt>
                <c:pt idx="257">
                  <c:v>233.42530361709092</c:v>
                </c:pt>
                <c:pt idx="258">
                  <c:v>231.24568964733797</c:v>
                </c:pt>
                <c:pt idx="259">
                  <c:v>230.60934488556825</c:v>
                </c:pt>
                <c:pt idx="260">
                  <c:v>225.08913680020703</c:v>
                </c:pt>
                <c:pt idx="261">
                  <c:v>215.8403686116967</c:v>
                </c:pt>
                <c:pt idx="262">
                  <c:v>216.43287362090223</c:v>
                </c:pt>
                <c:pt idx="263">
                  <c:v>210.75510863050846</c:v>
                </c:pt>
                <c:pt idx="264">
                  <c:v>212.81501755691392</c:v>
                </c:pt>
                <c:pt idx="265">
                  <c:v>215.62898507068039</c:v>
                </c:pt>
                <c:pt idx="266">
                  <c:v>215.98711526790046</c:v>
                </c:pt>
                <c:pt idx="267">
                  <c:v>212.98358695556476</c:v>
                </c:pt>
                <c:pt idx="268">
                  <c:v>204.69276344161401</c:v>
                </c:pt>
                <c:pt idx="269">
                  <c:v>200.3933319557693</c:v>
                </c:pt>
                <c:pt idx="270">
                  <c:v>212.77395675919686</c:v>
                </c:pt>
                <c:pt idx="271">
                  <c:v>212.60400986910247</c:v>
                </c:pt>
              </c:numCache>
            </c:numRef>
          </c:yVal>
          <c:smooth val="0"/>
        </c:ser>
        <c:dLbls>
          <c:showLegendKey val="0"/>
          <c:showVal val="0"/>
          <c:showCatName val="0"/>
          <c:showSerName val="0"/>
          <c:showPercent val="0"/>
          <c:showBubbleSize val="0"/>
        </c:dLbls>
        <c:axId val="45893120"/>
        <c:axId val="45895040"/>
      </c:scatterChart>
      <c:valAx>
        <c:axId val="45893120"/>
        <c:scaling>
          <c:orientation val="minMax"/>
          <c:min val="32900"/>
        </c:scaling>
        <c:delete val="0"/>
        <c:axPos val="b"/>
        <c:title>
          <c:tx>
            <c:rich>
              <a:bodyPr/>
              <a:lstStyle/>
              <a:p>
                <a:pPr>
                  <a:defRPr sz="975" b="0" i="1" u="none" strike="noStrike" baseline="0">
                    <a:solidFill>
                      <a:srgbClr val="000000"/>
                    </a:solidFill>
                    <a:latin typeface="Arial"/>
                    <a:ea typeface="Arial"/>
                    <a:cs typeface="Arial"/>
                  </a:defRPr>
                </a:pPr>
                <a:r>
                  <a:rPr lang="en-US" sz="1000" b="0" i="1" baseline="0">
                    <a:effectLst/>
                  </a:rPr>
                  <a:t>Source: FAO</a:t>
                </a:r>
                <a:endParaRPr lang="en-US" sz="1000">
                  <a:effectLst/>
                </a:endParaRPr>
              </a:p>
            </c:rich>
          </c:tx>
          <c:layout>
            <c:manualLayout>
              <c:xMode val="edge"/>
              <c:yMode val="edge"/>
              <c:x val="0.46003262642740622"/>
              <c:y val="0.93810444874274657"/>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5895040"/>
        <c:crosses val="autoZero"/>
        <c:crossBetween val="midCat"/>
        <c:majorUnit val="1825"/>
      </c:valAx>
      <c:valAx>
        <c:axId val="45895040"/>
        <c:scaling>
          <c:orientation val="minMax"/>
        </c:scaling>
        <c:delete val="0"/>
        <c:axPos val="l"/>
        <c:majorGridlines>
          <c:spPr>
            <a:ln w="3175">
              <a:solidFill>
                <a:srgbClr val="000000"/>
              </a:solidFill>
              <a:prstDash val="solid"/>
            </a:ln>
          </c:spPr>
        </c:majorGridlines>
        <c:title>
          <c:tx>
            <c:rich>
              <a:bodyPr/>
              <a:lstStyle/>
              <a:p>
                <a:pPr>
                  <a:defRPr sz="1175" b="0" i="0" u="none" strike="noStrike" baseline="0">
                    <a:solidFill>
                      <a:srgbClr val="000000"/>
                    </a:solidFill>
                    <a:latin typeface="Arial"/>
                    <a:ea typeface="Arial"/>
                    <a:cs typeface="Arial"/>
                  </a:defRPr>
                </a:pPr>
                <a:r>
                  <a:rPr lang="en-US" sz="1000" b="0" i="0" baseline="0">
                    <a:effectLst/>
                  </a:rPr>
                  <a:t>2002-2004 = 100</a:t>
                </a:r>
                <a:endParaRPr lang="en-US" sz="1000">
                  <a:effectLst/>
                </a:endParaRPr>
              </a:p>
            </c:rich>
          </c:tx>
          <c:layout>
            <c:manualLayout>
              <c:xMode val="edge"/>
              <c:yMode val="edge"/>
              <c:x val="1.468189233278956E-2"/>
              <c:y val="0.394584139264990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5893120"/>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Monthly Grains Price Index, </a:t>
            </a:r>
            <a:br>
              <a:rPr lang="en-US" sz="1400" b="0" i="0" baseline="0">
                <a:effectLst/>
              </a:rPr>
            </a:br>
            <a:r>
              <a:rPr lang="en-US" sz="1400" b="0" i="0" baseline="0">
                <a:effectLst/>
              </a:rPr>
              <a:t>January 1990 - August 2012</a:t>
            </a:r>
            <a:endParaRPr lang="en-US" sz="1400">
              <a:effectLst/>
            </a:endParaRPr>
          </a:p>
        </c:rich>
      </c:tx>
      <c:layout>
        <c:manualLayout>
          <c:xMode val="edge"/>
          <c:yMode val="edge"/>
          <c:x val="0.27134312126155519"/>
          <c:y val="4.2553191489361701E-2"/>
        </c:manualLayout>
      </c:layout>
      <c:overlay val="0"/>
      <c:spPr>
        <a:noFill/>
        <a:ln w="25400">
          <a:noFill/>
        </a:ln>
      </c:spPr>
    </c:title>
    <c:autoTitleDeleted val="0"/>
    <c:plotArea>
      <c:layout>
        <c:manualLayout>
          <c:layoutTarget val="inner"/>
          <c:xMode val="edge"/>
          <c:yMode val="edge"/>
          <c:x val="0.11908646003262642"/>
          <c:y val="0.15667311411992263"/>
          <c:w val="0.81729200652528544"/>
          <c:h val="0.72147001934235977"/>
        </c:manualLayout>
      </c:layout>
      <c:scatterChart>
        <c:scatterStyle val="lineMarker"/>
        <c:varyColors val="0"/>
        <c:ser>
          <c:idx val="0"/>
          <c:order val="0"/>
          <c:spPr>
            <a:ln w="19050">
              <a:solidFill>
                <a:srgbClr val="000000"/>
              </a:solidFill>
              <a:prstDash val="solid"/>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Prices'!$D$6:$D$277</c:f>
              <c:numCache>
                <c:formatCode>0.0</c:formatCode>
                <c:ptCount val="272"/>
                <c:pt idx="0">
                  <c:v>106.64036496112075</c:v>
                </c:pt>
                <c:pt idx="1">
                  <c:v>104.37410019994707</c:v>
                </c:pt>
                <c:pt idx="2">
                  <c:v>102.72887614365514</c:v>
                </c:pt>
                <c:pt idx="3">
                  <c:v>105.61581110245112</c:v>
                </c:pt>
                <c:pt idx="4">
                  <c:v>105.52653810516357</c:v>
                </c:pt>
                <c:pt idx="5">
                  <c:v>103.25062437124944</c:v>
                </c:pt>
                <c:pt idx="6">
                  <c:v>97.263081074213517</c:v>
                </c:pt>
                <c:pt idx="7">
                  <c:v>93.449262275459319</c:v>
                </c:pt>
                <c:pt idx="8">
                  <c:v>87.790028246877853</c:v>
                </c:pt>
                <c:pt idx="9">
                  <c:v>88.924346400231912</c:v>
                </c:pt>
                <c:pt idx="10">
                  <c:v>88.164426634600773</c:v>
                </c:pt>
                <c:pt idx="11">
                  <c:v>88.880879223643561</c:v>
                </c:pt>
                <c:pt idx="12">
                  <c:v>90.433494856667949</c:v>
                </c:pt>
                <c:pt idx="13">
                  <c:v>92.099526647874882</c:v>
                </c:pt>
                <c:pt idx="14">
                  <c:v>95.04039207010338</c:v>
                </c:pt>
                <c:pt idx="15">
                  <c:v>96.525458880167136</c:v>
                </c:pt>
                <c:pt idx="16">
                  <c:v>95.463489116917401</c:v>
                </c:pt>
                <c:pt idx="17">
                  <c:v>94.557855405741947</c:v>
                </c:pt>
                <c:pt idx="18">
                  <c:v>93.595881357151555</c:v>
                </c:pt>
                <c:pt idx="19">
                  <c:v>97.90430820771293</c:v>
                </c:pt>
                <c:pt idx="20">
                  <c:v>98.77774602250507</c:v>
                </c:pt>
                <c:pt idx="21">
                  <c:v>102.11303348290204</c:v>
                </c:pt>
                <c:pt idx="22">
                  <c:v>102.46945178839846</c:v>
                </c:pt>
                <c:pt idx="23">
                  <c:v>105.65919385407358</c:v>
                </c:pt>
                <c:pt idx="24">
                  <c:v>107.77133111227529</c:v>
                </c:pt>
                <c:pt idx="25">
                  <c:v>111.19038476020421</c:v>
                </c:pt>
                <c:pt idx="26">
                  <c:v>110.93427969501082</c:v>
                </c:pt>
                <c:pt idx="27">
                  <c:v>105.7935544036866</c:v>
                </c:pt>
                <c:pt idx="28">
                  <c:v>104.56605500319208</c:v>
                </c:pt>
                <c:pt idx="29">
                  <c:v>103.78536116647896</c:v>
                </c:pt>
                <c:pt idx="30">
                  <c:v>99.0205034849009</c:v>
                </c:pt>
                <c:pt idx="31">
                  <c:v>94.320933311586217</c:v>
                </c:pt>
                <c:pt idx="32">
                  <c:v>97.806880221009749</c:v>
                </c:pt>
                <c:pt idx="33">
                  <c:v>97.703970578792251</c:v>
                </c:pt>
                <c:pt idx="34">
                  <c:v>98.922538498446642</c:v>
                </c:pt>
                <c:pt idx="35">
                  <c:v>97.661481795842946</c:v>
                </c:pt>
                <c:pt idx="36">
                  <c:v>98.789906261765566</c:v>
                </c:pt>
                <c:pt idx="37">
                  <c:v>97.472619109917986</c:v>
                </c:pt>
                <c:pt idx="38">
                  <c:v>97.336783505656655</c:v>
                </c:pt>
                <c:pt idx="39">
                  <c:v>96.447976806168214</c:v>
                </c:pt>
                <c:pt idx="40">
                  <c:v>93.35525793845477</c:v>
                </c:pt>
                <c:pt idx="41">
                  <c:v>88.882920968822617</c:v>
                </c:pt>
                <c:pt idx="42">
                  <c:v>94.096524003061418</c:v>
                </c:pt>
                <c:pt idx="43">
                  <c:v>95.594241062570333</c:v>
                </c:pt>
                <c:pt idx="44">
                  <c:v>98.494438233691028</c:v>
                </c:pt>
                <c:pt idx="45">
                  <c:v>104.22459368873353</c:v>
                </c:pt>
                <c:pt idx="46">
                  <c:v>113.24263784648524</c:v>
                </c:pt>
                <c:pt idx="47">
                  <c:v>116.55883776059932</c:v>
                </c:pt>
                <c:pt idx="48">
                  <c:v>115.97897672428235</c:v>
                </c:pt>
                <c:pt idx="49">
                  <c:v>113.3308250826979</c:v>
                </c:pt>
                <c:pt idx="50">
                  <c:v>108.65592821105741</c:v>
                </c:pt>
                <c:pt idx="51">
                  <c:v>105.82407301669232</c:v>
                </c:pt>
                <c:pt idx="52">
                  <c:v>104.42023337893428</c:v>
                </c:pt>
                <c:pt idx="53">
                  <c:v>101.61900745187444</c:v>
                </c:pt>
                <c:pt idx="54">
                  <c:v>94.543217798132858</c:v>
                </c:pt>
                <c:pt idx="55">
                  <c:v>96.698691839567545</c:v>
                </c:pt>
                <c:pt idx="56">
                  <c:v>101.59510264930796</c:v>
                </c:pt>
                <c:pt idx="57">
                  <c:v>103.77948113532487</c:v>
                </c:pt>
                <c:pt idx="58">
                  <c:v>102.72194964793863</c:v>
                </c:pt>
                <c:pt idx="59">
                  <c:v>105.42218153969711</c:v>
                </c:pt>
                <c:pt idx="60">
                  <c:v>105.86144151325117</c:v>
                </c:pt>
                <c:pt idx="61">
                  <c:v>104.97585244315454</c:v>
                </c:pt>
                <c:pt idx="62">
                  <c:v>104.41722222912156</c:v>
                </c:pt>
                <c:pt idx="63">
                  <c:v>105.30496488719463</c:v>
                </c:pt>
                <c:pt idx="64">
                  <c:v>109.64255583513551</c:v>
                </c:pt>
                <c:pt idx="65">
                  <c:v>116.57572190144487</c:v>
                </c:pt>
                <c:pt idx="66">
                  <c:v>124.77114998321458</c:v>
                </c:pt>
                <c:pt idx="67">
                  <c:v>122.29574287294756</c:v>
                </c:pt>
                <c:pt idx="68">
                  <c:v>127.77086993735239</c:v>
                </c:pt>
                <c:pt idx="69">
                  <c:v>135.1823889970548</c:v>
                </c:pt>
                <c:pt idx="70">
                  <c:v>135.4053793455318</c:v>
                </c:pt>
                <c:pt idx="71">
                  <c:v>138.93755518471221</c:v>
                </c:pt>
                <c:pt idx="72">
                  <c:v>139.95880322060214</c:v>
                </c:pt>
                <c:pt idx="73">
                  <c:v>143.74166982937595</c:v>
                </c:pt>
                <c:pt idx="74">
                  <c:v>146.16952438688912</c:v>
                </c:pt>
                <c:pt idx="75">
                  <c:v>160.17244989335387</c:v>
                </c:pt>
                <c:pt idx="76">
                  <c:v>167.90577733028533</c:v>
                </c:pt>
                <c:pt idx="77">
                  <c:v>158.55548022169063</c:v>
                </c:pt>
                <c:pt idx="78">
                  <c:v>153.04956688727432</c:v>
                </c:pt>
                <c:pt idx="79">
                  <c:v>144.76892016968705</c:v>
                </c:pt>
                <c:pt idx="80">
                  <c:v>126.45917316166548</c:v>
                </c:pt>
                <c:pt idx="81">
                  <c:v>120.04530749325365</c:v>
                </c:pt>
                <c:pt idx="82">
                  <c:v>114.22836319748168</c:v>
                </c:pt>
                <c:pt idx="83">
                  <c:v>114.66659354193142</c:v>
                </c:pt>
                <c:pt idx="84">
                  <c:v>114.7704970385585</c:v>
                </c:pt>
                <c:pt idx="85">
                  <c:v>115.59574836165642</c:v>
                </c:pt>
                <c:pt idx="86">
                  <c:v>119.09098111857931</c:v>
                </c:pt>
                <c:pt idx="87">
                  <c:v>119.578049318358</c:v>
                </c:pt>
                <c:pt idx="88">
                  <c:v>116.09412474963047</c:v>
                </c:pt>
                <c:pt idx="89">
                  <c:v>109.79851421565867</c:v>
                </c:pt>
                <c:pt idx="90">
                  <c:v>105.16834861900304</c:v>
                </c:pt>
                <c:pt idx="91">
                  <c:v>110.65696915590627</c:v>
                </c:pt>
                <c:pt idx="92">
                  <c:v>109.898920007695</c:v>
                </c:pt>
                <c:pt idx="93">
                  <c:v>111.05876850192467</c:v>
                </c:pt>
                <c:pt idx="94">
                  <c:v>108.99426832277696</c:v>
                </c:pt>
                <c:pt idx="95">
                  <c:v>107.62736756313095</c:v>
                </c:pt>
                <c:pt idx="96">
                  <c:v>106.34801873347052</c:v>
                </c:pt>
                <c:pt idx="97">
                  <c:v>106.31167148965163</c:v>
                </c:pt>
                <c:pt idx="98">
                  <c:v>106.89722065873201</c:v>
                </c:pt>
                <c:pt idx="99">
                  <c:v>103.00933670135862</c:v>
                </c:pt>
                <c:pt idx="100">
                  <c:v>102.00041160830844</c:v>
                </c:pt>
                <c:pt idx="101">
                  <c:v>100.21059504452165</c:v>
                </c:pt>
                <c:pt idx="102">
                  <c:v>97.532267874277693</c:v>
                </c:pt>
                <c:pt idx="103">
                  <c:v>91.711289225359636</c:v>
                </c:pt>
                <c:pt idx="104">
                  <c:v>91.490690892641098</c:v>
                </c:pt>
                <c:pt idx="105">
                  <c:v>97.867000359221748</c:v>
                </c:pt>
                <c:pt idx="106">
                  <c:v>98.778005535930888</c:v>
                </c:pt>
                <c:pt idx="107">
                  <c:v>96.631863956426216</c:v>
                </c:pt>
                <c:pt idx="108">
                  <c:v>97.17377772188118</c:v>
                </c:pt>
                <c:pt idx="109">
                  <c:v>93.615287978641703</c:v>
                </c:pt>
                <c:pt idx="110">
                  <c:v>93.993373638298266</c:v>
                </c:pt>
                <c:pt idx="111">
                  <c:v>91.816641774952302</c:v>
                </c:pt>
                <c:pt idx="112">
                  <c:v>90.337636172710361</c:v>
                </c:pt>
                <c:pt idx="113">
                  <c:v>91.407796752830066</c:v>
                </c:pt>
                <c:pt idx="114">
                  <c:v>88.091247843771612</c:v>
                </c:pt>
                <c:pt idx="115">
                  <c:v>90.647784125878943</c:v>
                </c:pt>
                <c:pt idx="116">
                  <c:v>89.946240645223924</c:v>
                </c:pt>
                <c:pt idx="117">
                  <c:v>87.574094394188236</c:v>
                </c:pt>
                <c:pt idx="118">
                  <c:v>87.007087454475879</c:v>
                </c:pt>
                <c:pt idx="119">
                  <c:v>85.262935646795782</c:v>
                </c:pt>
                <c:pt idx="120">
                  <c:v>87.593902890290991</c:v>
                </c:pt>
                <c:pt idx="121">
                  <c:v>88.756128610263005</c:v>
                </c:pt>
                <c:pt idx="122">
                  <c:v>87.324797431112103</c:v>
                </c:pt>
                <c:pt idx="123">
                  <c:v>86.793179774855844</c:v>
                </c:pt>
                <c:pt idx="124">
                  <c:v>87.075602063871585</c:v>
                </c:pt>
                <c:pt idx="125">
                  <c:v>83.222593999597649</c:v>
                </c:pt>
                <c:pt idx="126">
                  <c:v>79.246511142608355</c:v>
                </c:pt>
                <c:pt idx="127">
                  <c:v>78.368307584881705</c:v>
                </c:pt>
                <c:pt idx="128">
                  <c:v>81.37990259866595</c:v>
                </c:pt>
                <c:pt idx="129">
                  <c:v>85.493243388089795</c:v>
                </c:pt>
                <c:pt idx="130">
                  <c:v>86.878806940451057</c:v>
                </c:pt>
                <c:pt idx="131">
                  <c:v>90.05798989637843</c:v>
                </c:pt>
                <c:pt idx="132">
                  <c:v>89.98204385551675</c:v>
                </c:pt>
                <c:pt idx="133">
                  <c:v>88.363988756585798</c:v>
                </c:pt>
                <c:pt idx="134">
                  <c:v>87.353602902488291</c:v>
                </c:pt>
                <c:pt idx="135">
                  <c:v>85.021175026598286</c:v>
                </c:pt>
                <c:pt idx="136">
                  <c:v>84.926941904142865</c:v>
                </c:pt>
                <c:pt idx="137">
                  <c:v>84.367417211326156</c:v>
                </c:pt>
                <c:pt idx="138">
                  <c:v>87.617898444115696</c:v>
                </c:pt>
                <c:pt idx="139">
                  <c:v>86.614446938988749</c:v>
                </c:pt>
                <c:pt idx="140">
                  <c:v>85.714195401933523</c:v>
                </c:pt>
                <c:pt idx="141">
                  <c:v>85.193345694609093</c:v>
                </c:pt>
                <c:pt idx="142">
                  <c:v>86.52885563934278</c:v>
                </c:pt>
                <c:pt idx="143">
                  <c:v>86.811875986372044</c:v>
                </c:pt>
                <c:pt idx="144">
                  <c:v>86.960439306952566</c:v>
                </c:pt>
                <c:pt idx="145">
                  <c:v>85.148139218349684</c:v>
                </c:pt>
                <c:pt idx="146">
                  <c:v>84.301268809956127</c:v>
                </c:pt>
                <c:pt idx="147">
                  <c:v>82.350155115284196</c:v>
                </c:pt>
                <c:pt idx="148">
                  <c:v>84.34450086408647</c:v>
                </c:pt>
                <c:pt idx="149">
                  <c:v>87.078770303783244</c:v>
                </c:pt>
                <c:pt idx="150">
                  <c:v>93.263885328407497</c:v>
                </c:pt>
                <c:pt idx="151">
                  <c:v>100.1708945483246</c:v>
                </c:pt>
                <c:pt idx="152">
                  <c:v>110.71826782220974</c:v>
                </c:pt>
                <c:pt idx="153">
                  <c:v>109.84314535366859</c:v>
                </c:pt>
                <c:pt idx="154">
                  <c:v>107.35627715922566</c:v>
                </c:pt>
                <c:pt idx="155">
                  <c:v>101.28138884243606</c:v>
                </c:pt>
                <c:pt idx="156">
                  <c:v>98.489330941442745</c:v>
                </c:pt>
                <c:pt idx="157">
                  <c:v>98.448450620564032</c:v>
                </c:pt>
                <c:pt idx="158">
                  <c:v>95.80987996876101</c:v>
                </c:pt>
                <c:pt idx="159">
                  <c:v>95.5234616607178</c:v>
                </c:pt>
                <c:pt idx="160">
                  <c:v>97.459466575495156</c:v>
                </c:pt>
                <c:pt idx="161">
                  <c:v>95.802552251988089</c:v>
                </c:pt>
                <c:pt idx="162">
                  <c:v>92.823468410365138</c:v>
                </c:pt>
                <c:pt idx="163">
                  <c:v>97.732749978033752</c:v>
                </c:pt>
                <c:pt idx="164">
                  <c:v>97.623897999429374</c:v>
                </c:pt>
                <c:pt idx="165">
                  <c:v>98.51347711177408</c:v>
                </c:pt>
                <c:pt idx="166">
                  <c:v>103.69492720933451</c:v>
                </c:pt>
                <c:pt idx="167">
                  <c:v>105.44644022059285</c:v>
                </c:pt>
                <c:pt idx="168">
                  <c:v>108.06599875182502</c:v>
                </c:pt>
                <c:pt idx="169">
                  <c:v>110.66994838082267</c:v>
                </c:pt>
                <c:pt idx="170">
                  <c:v>114.8060624669781</c:v>
                </c:pt>
                <c:pt idx="171">
                  <c:v>117.71997767790225</c:v>
                </c:pt>
                <c:pt idx="172">
                  <c:v>115.44857185006353</c:v>
                </c:pt>
                <c:pt idx="173">
                  <c:v>111.73489319613547</c:v>
                </c:pt>
                <c:pt idx="174">
                  <c:v>103.12208866275577</c:v>
                </c:pt>
                <c:pt idx="175">
                  <c:v>100.61472799336126</c:v>
                </c:pt>
                <c:pt idx="176">
                  <c:v>101.7136932881583</c:v>
                </c:pt>
                <c:pt idx="177">
                  <c:v>100.68709130474834</c:v>
                </c:pt>
                <c:pt idx="178">
                  <c:v>102.15381056677111</c:v>
                </c:pt>
                <c:pt idx="179">
                  <c:v>103.07790023929495</c:v>
                </c:pt>
                <c:pt idx="180">
                  <c:v>104.12834091536153</c:v>
                </c:pt>
                <c:pt idx="181">
                  <c:v>102.57230563439397</c:v>
                </c:pt>
                <c:pt idx="182">
                  <c:v>105.11984187063072</c:v>
                </c:pt>
                <c:pt idx="183">
                  <c:v>100.72344397308299</c:v>
                </c:pt>
                <c:pt idx="184">
                  <c:v>99.762321262206854</c:v>
                </c:pt>
                <c:pt idx="185">
                  <c:v>101.83684835642332</c:v>
                </c:pt>
                <c:pt idx="186">
                  <c:v>103.0492783987734</c:v>
                </c:pt>
                <c:pt idx="187">
                  <c:v>101.7884858833561</c:v>
                </c:pt>
                <c:pt idx="188">
                  <c:v>104.68054891071921</c:v>
                </c:pt>
                <c:pt idx="189">
                  <c:v>107.11269540045043</c:v>
                </c:pt>
                <c:pt idx="190">
                  <c:v>104.6989104908541</c:v>
                </c:pt>
                <c:pt idx="191">
                  <c:v>107.09321647639059</c:v>
                </c:pt>
                <c:pt idx="192">
                  <c:v>107.85426013066595</c:v>
                </c:pt>
                <c:pt idx="193">
                  <c:v>111.56694204469696</c:v>
                </c:pt>
                <c:pt idx="194">
                  <c:v>110.13143441319514</c:v>
                </c:pt>
                <c:pt idx="195">
                  <c:v>112.17230354785917</c:v>
                </c:pt>
                <c:pt idx="196">
                  <c:v>116.40805323215682</c:v>
                </c:pt>
                <c:pt idx="197">
                  <c:v>115.77179594981155</c:v>
                </c:pt>
                <c:pt idx="198">
                  <c:v>120.08568043943519</c:v>
                </c:pt>
                <c:pt idx="199">
                  <c:v>118.40683684412153</c:v>
                </c:pt>
                <c:pt idx="200">
                  <c:v>123.04233891886147</c:v>
                </c:pt>
                <c:pt idx="201">
                  <c:v>135.71566732164445</c:v>
                </c:pt>
                <c:pt idx="202">
                  <c:v>144.54603526914374</c:v>
                </c:pt>
                <c:pt idx="203">
                  <c:v>144.15192447631054</c:v>
                </c:pt>
                <c:pt idx="204">
                  <c:v>143.97962263411642</c:v>
                </c:pt>
                <c:pt idx="205">
                  <c:v>149.51938827698723</c:v>
                </c:pt>
                <c:pt idx="206">
                  <c:v>148.20661297090629</c:v>
                </c:pt>
                <c:pt idx="207">
                  <c:v>144.49879684797833</c:v>
                </c:pt>
                <c:pt idx="208">
                  <c:v>146.4889861128417</c:v>
                </c:pt>
                <c:pt idx="209">
                  <c:v>155.17135139779455</c:v>
                </c:pt>
                <c:pt idx="210">
                  <c:v>155.21781938257939</c:v>
                </c:pt>
                <c:pt idx="211">
                  <c:v>165.81404032306273</c:v>
                </c:pt>
                <c:pt idx="212">
                  <c:v>187.73965766970707</c:v>
                </c:pt>
                <c:pt idx="213">
                  <c:v>193.93330591330133</c:v>
                </c:pt>
                <c:pt idx="214">
                  <c:v>196.48145396722362</c:v>
                </c:pt>
                <c:pt idx="215">
                  <c:v>215.77176583406242</c:v>
                </c:pt>
                <c:pt idx="216">
                  <c:v>231.28317434793033</c:v>
                </c:pt>
                <c:pt idx="217">
                  <c:v>271.37625374571951</c:v>
                </c:pt>
                <c:pt idx="218">
                  <c:v>271.529921878344</c:v>
                </c:pt>
                <c:pt idx="219">
                  <c:v>274.13433439491234</c:v>
                </c:pt>
                <c:pt idx="220">
                  <c:v>266.80375813048266</c:v>
                </c:pt>
                <c:pt idx="221">
                  <c:v>273.51214389193638</c:v>
                </c:pt>
                <c:pt idx="222">
                  <c:v>256.49047184558526</c:v>
                </c:pt>
                <c:pt idx="223">
                  <c:v>239.36331118484659</c:v>
                </c:pt>
                <c:pt idx="224">
                  <c:v>225.75923455883756</c:v>
                </c:pt>
                <c:pt idx="225">
                  <c:v>190.40445828683585</c:v>
                </c:pt>
                <c:pt idx="226">
                  <c:v>178.16561426292276</c:v>
                </c:pt>
                <c:pt idx="227">
                  <c:v>174.26049729701117</c:v>
                </c:pt>
                <c:pt idx="228">
                  <c:v>184.53411367510989</c:v>
                </c:pt>
                <c:pt idx="229">
                  <c:v>177.29940536445457</c:v>
                </c:pt>
                <c:pt idx="230">
                  <c:v>177.72569685152945</c:v>
                </c:pt>
                <c:pt idx="231">
                  <c:v>178.93159413944949</c:v>
                </c:pt>
                <c:pt idx="232">
                  <c:v>185.46327203182551</c:v>
                </c:pt>
                <c:pt idx="233">
                  <c:v>185.32569987441585</c:v>
                </c:pt>
                <c:pt idx="234">
                  <c:v>167.04864043735782</c:v>
                </c:pt>
                <c:pt idx="235">
                  <c:v>162.01135523148679</c:v>
                </c:pt>
                <c:pt idx="236">
                  <c:v>157.69735415756284</c:v>
                </c:pt>
                <c:pt idx="237">
                  <c:v>166.09979495702345</c:v>
                </c:pt>
                <c:pt idx="238">
                  <c:v>170.90070537926997</c:v>
                </c:pt>
                <c:pt idx="239">
                  <c:v>171.04098720678661</c:v>
                </c:pt>
                <c:pt idx="240">
                  <c:v>170.24224230773203</c:v>
                </c:pt>
                <c:pt idx="241">
                  <c:v>164.17350067296411</c:v>
                </c:pt>
                <c:pt idx="242">
                  <c:v>157.7263959586829</c:v>
                </c:pt>
                <c:pt idx="243">
                  <c:v>154.80266461473462</c:v>
                </c:pt>
                <c:pt idx="244">
                  <c:v>155.08503764351278</c:v>
                </c:pt>
                <c:pt idx="245">
                  <c:v>151.18072511367782</c:v>
                </c:pt>
                <c:pt idx="246">
                  <c:v>163.30580215652401</c:v>
                </c:pt>
                <c:pt idx="247">
                  <c:v>185.22527796669166</c:v>
                </c:pt>
                <c:pt idx="248">
                  <c:v>208.30938262437695</c:v>
                </c:pt>
                <c:pt idx="249">
                  <c:v>219.93047524055467</c:v>
                </c:pt>
                <c:pt idx="250">
                  <c:v>223.3315391477324</c:v>
                </c:pt>
                <c:pt idx="251">
                  <c:v>237.7788059910724</c:v>
                </c:pt>
                <c:pt idx="252">
                  <c:v>244.81039004220668</c:v>
                </c:pt>
                <c:pt idx="253">
                  <c:v>258.60000348311485</c:v>
                </c:pt>
                <c:pt idx="254">
                  <c:v>251.22258443274924</c:v>
                </c:pt>
                <c:pt idx="255">
                  <c:v>265.38086187245403</c:v>
                </c:pt>
                <c:pt idx="256">
                  <c:v>261.25405096199762</c:v>
                </c:pt>
                <c:pt idx="257">
                  <c:v>259.04848689614948</c:v>
                </c:pt>
                <c:pt idx="258">
                  <c:v>247.16303095388807</c:v>
                </c:pt>
                <c:pt idx="259">
                  <c:v>252.38250300440481</c:v>
                </c:pt>
                <c:pt idx="260">
                  <c:v>244.32517534847659</c:v>
                </c:pt>
                <c:pt idx="261">
                  <c:v>231.31334053595211</c:v>
                </c:pt>
                <c:pt idx="262">
                  <c:v>228.84110170504474</c:v>
                </c:pt>
                <c:pt idx="263">
                  <c:v>217.63881312464576</c:v>
                </c:pt>
                <c:pt idx="264">
                  <c:v>222.71152295641969</c:v>
                </c:pt>
                <c:pt idx="265">
                  <c:v>226.30042988939749</c:v>
                </c:pt>
                <c:pt idx="266">
                  <c:v>227.76432730525752</c:v>
                </c:pt>
                <c:pt idx="267">
                  <c:v>223.29749534672345</c:v>
                </c:pt>
                <c:pt idx="268">
                  <c:v>221.26176737451044</c:v>
                </c:pt>
                <c:pt idx="269">
                  <c:v>222.05717887870532</c:v>
                </c:pt>
                <c:pt idx="270">
                  <c:v>259.96254172715237</c:v>
                </c:pt>
                <c:pt idx="271">
                  <c:v>260.30423296471383</c:v>
                </c:pt>
              </c:numCache>
            </c:numRef>
          </c:yVal>
          <c:smooth val="0"/>
        </c:ser>
        <c:dLbls>
          <c:showLegendKey val="0"/>
          <c:showVal val="0"/>
          <c:showCatName val="0"/>
          <c:showSerName val="0"/>
          <c:showPercent val="0"/>
          <c:showBubbleSize val="0"/>
        </c:dLbls>
        <c:axId val="75411840"/>
        <c:axId val="75413760"/>
      </c:scatterChart>
      <c:valAx>
        <c:axId val="75411840"/>
        <c:scaling>
          <c:orientation val="minMax"/>
          <c:min val="32900"/>
        </c:scaling>
        <c:delete val="0"/>
        <c:axPos val="b"/>
        <c:title>
          <c:tx>
            <c:rich>
              <a:bodyPr/>
              <a:lstStyle/>
              <a:p>
                <a:pPr>
                  <a:defRPr sz="975" b="0" i="1" u="none" strike="noStrike" baseline="0">
                    <a:solidFill>
                      <a:srgbClr val="000000"/>
                    </a:solidFill>
                    <a:latin typeface="Arial"/>
                    <a:ea typeface="Arial"/>
                    <a:cs typeface="Arial"/>
                  </a:defRPr>
                </a:pPr>
                <a:r>
                  <a:rPr lang="en-US" sz="1000" b="0" i="1" baseline="0">
                    <a:effectLst/>
                  </a:rPr>
                  <a:t>Source: FAO</a:t>
                </a:r>
                <a:endParaRPr lang="en-US" sz="1000">
                  <a:effectLst/>
                </a:endParaRPr>
              </a:p>
            </c:rich>
          </c:tx>
          <c:layout>
            <c:manualLayout>
              <c:xMode val="edge"/>
              <c:yMode val="edge"/>
              <c:x val="0.46003269714059358"/>
              <c:y val="0.93810436036996081"/>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413760"/>
        <c:crosses val="autoZero"/>
        <c:crossBetween val="midCat"/>
        <c:majorUnit val="1825"/>
      </c:valAx>
      <c:valAx>
        <c:axId val="75413760"/>
        <c:scaling>
          <c:orientation val="minMax"/>
        </c:scaling>
        <c:delete val="0"/>
        <c:axPos val="l"/>
        <c:majorGridlines>
          <c:spPr>
            <a:ln w="3175">
              <a:solidFill>
                <a:srgbClr val="000000"/>
              </a:solidFill>
              <a:prstDash val="solid"/>
            </a:ln>
          </c:spPr>
        </c:majorGridlines>
        <c:title>
          <c:tx>
            <c:rich>
              <a:bodyPr/>
              <a:lstStyle/>
              <a:p>
                <a:pPr>
                  <a:defRPr sz="1175" b="0" i="0" u="none" strike="noStrike" baseline="0">
                    <a:solidFill>
                      <a:srgbClr val="000000"/>
                    </a:solidFill>
                    <a:latin typeface="Arial"/>
                    <a:ea typeface="Arial"/>
                    <a:cs typeface="Arial"/>
                  </a:defRPr>
                </a:pPr>
                <a:r>
                  <a:rPr lang="en-US" sz="1000" b="0" i="0" baseline="0">
                    <a:effectLst/>
                  </a:rPr>
                  <a:t>2002-2004 = 100</a:t>
                </a:r>
                <a:endParaRPr lang="en-US" sz="1000">
                  <a:effectLst/>
                </a:endParaRPr>
              </a:p>
            </c:rich>
          </c:tx>
          <c:layout>
            <c:manualLayout>
              <c:xMode val="edge"/>
              <c:yMode val="edge"/>
              <c:x val="1.4681845376997141E-2"/>
              <c:y val="0.394584118841057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75411840"/>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a:latin typeface="Arial" pitchFamily="34" charset="0"/>
                <a:cs typeface="Arial" pitchFamily="34" charset="0"/>
              </a:rPr>
              <a:t>World Monthly Price Indices for Meat, Dairy, Grains, Oils, and Sugar, January 1990 - August 2012</a:t>
            </a:r>
          </a:p>
        </c:rich>
      </c:tx>
      <c:layout>
        <c:manualLayout>
          <c:xMode val="edge"/>
          <c:yMode val="edge"/>
          <c:x val="0.13010499760492691"/>
          <c:y val="4.2555400255162155E-2"/>
        </c:manualLayout>
      </c:layout>
      <c:overlay val="0"/>
      <c:spPr>
        <a:noFill/>
        <a:ln w="25400">
          <a:noFill/>
        </a:ln>
      </c:spPr>
    </c:title>
    <c:autoTitleDeleted val="0"/>
    <c:plotArea>
      <c:layout>
        <c:manualLayout>
          <c:layoutTarget val="inner"/>
          <c:xMode val="edge"/>
          <c:yMode val="edge"/>
          <c:x val="0.11908646003262642"/>
          <c:y val="0.15667311411992263"/>
          <c:w val="0.81729200652528544"/>
          <c:h val="0.72147001934235977"/>
        </c:manualLayout>
      </c:layout>
      <c:scatterChart>
        <c:scatterStyle val="lineMarker"/>
        <c:varyColors val="0"/>
        <c:ser>
          <c:idx val="4"/>
          <c:order val="0"/>
          <c:tx>
            <c:strRef>
              <c:f>'World Food Prices'!$F$3</c:f>
              <c:strCache>
                <c:ptCount val="1"/>
                <c:pt idx="0">
                  <c:v>Sugar</c:v>
                </c:pt>
              </c:strCache>
            </c:strRef>
          </c:tx>
          <c:spPr>
            <a:ln w="19050">
              <a:solidFill>
                <a:srgbClr val="EEECE1">
                  <a:lumMod val="75000"/>
                </a:srgbClr>
              </a:solidFill>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Prices'!$F$6:$F$277</c:f>
              <c:numCache>
                <c:formatCode>0.0</c:formatCode>
                <c:ptCount val="272"/>
                <c:pt idx="0">
                  <c:v>201.50304064581283</c:v>
                </c:pt>
                <c:pt idx="1">
                  <c:v>207.88870038458859</c:v>
                </c:pt>
                <c:pt idx="2">
                  <c:v>217.96385241687921</c:v>
                </c:pt>
                <c:pt idx="3">
                  <c:v>216.26100981987238</c:v>
                </c:pt>
                <c:pt idx="4">
                  <c:v>207.1791826358357</c:v>
                </c:pt>
                <c:pt idx="5">
                  <c:v>184.04890402649244</c:v>
                </c:pt>
                <c:pt idx="6">
                  <c:v>170.14235615093634</c:v>
                </c:pt>
                <c:pt idx="7">
                  <c:v>155.10057987737565</c:v>
                </c:pt>
                <c:pt idx="8">
                  <c:v>157.08722957388366</c:v>
                </c:pt>
                <c:pt idx="9">
                  <c:v>139.34928585506213</c:v>
                </c:pt>
                <c:pt idx="10">
                  <c:v>142.89687459882643</c:v>
                </c:pt>
                <c:pt idx="11">
                  <c:v>138.21405745705752</c:v>
                </c:pt>
                <c:pt idx="12">
                  <c:v>124.87512378050374</c:v>
                </c:pt>
                <c:pt idx="13">
                  <c:v>120.75992083773713</c:v>
                </c:pt>
                <c:pt idx="14">
                  <c:v>129.69984447202319</c:v>
                </c:pt>
                <c:pt idx="15">
                  <c:v>120.75992083773713</c:v>
                </c:pt>
                <c:pt idx="16">
                  <c:v>107.5628907109339</c:v>
                </c:pt>
                <c:pt idx="17">
                  <c:v>130.55126577052661</c:v>
                </c:pt>
                <c:pt idx="18">
                  <c:v>146.30255979284016</c:v>
                </c:pt>
                <c:pt idx="19">
                  <c:v>134.24075806404153</c:v>
                </c:pt>
                <c:pt idx="20">
                  <c:v>131.82839771828176</c:v>
                </c:pt>
                <c:pt idx="21">
                  <c:v>129.41603737252203</c:v>
                </c:pt>
                <c:pt idx="22">
                  <c:v>122.8884740839957</c:v>
                </c:pt>
                <c:pt idx="23">
                  <c:v>127.71319477551518</c:v>
                </c:pt>
                <c:pt idx="24">
                  <c:v>118.06375339247626</c:v>
                </c:pt>
                <c:pt idx="25">
                  <c:v>111.25238300444877</c:v>
                </c:pt>
                <c:pt idx="26">
                  <c:v>116.64471789497053</c:v>
                </c:pt>
                <c:pt idx="27">
                  <c:v>134.24075806404153</c:v>
                </c:pt>
                <c:pt idx="28">
                  <c:v>136.08550421079894</c:v>
                </c:pt>
                <c:pt idx="29">
                  <c:v>147.01207754159302</c:v>
                </c:pt>
                <c:pt idx="30">
                  <c:v>146.30255979284016</c:v>
                </c:pt>
                <c:pt idx="31">
                  <c:v>139.4911894048127</c:v>
                </c:pt>
                <c:pt idx="32">
                  <c:v>132.11220481778292</c:v>
                </c:pt>
                <c:pt idx="33">
                  <c:v>123.59799183274858</c:v>
                </c:pt>
                <c:pt idx="34">
                  <c:v>121.61134213624057</c:v>
                </c:pt>
                <c:pt idx="35">
                  <c:v>115.65139304671652</c:v>
                </c:pt>
                <c:pt idx="36">
                  <c:v>116.92852499447166</c:v>
                </c:pt>
                <c:pt idx="37">
                  <c:v>121.46943858649</c:v>
                </c:pt>
                <c:pt idx="38">
                  <c:v>150.7015698351079</c:v>
                </c:pt>
                <c:pt idx="39">
                  <c:v>158.22245797188825</c:v>
                </c:pt>
                <c:pt idx="40">
                  <c:v>167.87189935492717</c:v>
                </c:pt>
                <c:pt idx="41">
                  <c:v>147.43778819084474</c:v>
                </c:pt>
                <c:pt idx="42">
                  <c:v>137.3626361585541</c:v>
                </c:pt>
                <c:pt idx="43">
                  <c:v>132.53791546703465</c:v>
                </c:pt>
                <c:pt idx="44">
                  <c:v>135.37598646204606</c:v>
                </c:pt>
                <c:pt idx="45">
                  <c:v>146.018752693339</c:v>
                </c:pt>
                <c:pt idx="46">
                  <c:v>143.60639234757929</c:v>
                </c:pt>
                <c:pt idx="47">
                  <c:v>149.28253433760216</c:v>
                </c:pt>
                <c:pt idx="48">
                  <c:v>146.16065624308959</c:v>
                </c:pt>
                <c:pt idx="49">
                  <c:v>153.53964083011934</c:v>
                </c:pt>
                <c:pt idx="50">
                  <c:v>166.59476740717201</c:v>
                </c:pt>
                <c:pt idx="51">
                  <c:v>156.23580827538021</c:v>
                </c:pt>
                <c:pt idx="52">
                  <c:v>164.32431061116287</c:v>
                </c:pt>
                <c:pt idx="53">
                  <c:v>170.99377744943979</c:v>
                </c:pt>
                <c:pt idx="54">
                  <c:v>167.02047805642371</c:v>
                </c:pt>
                <c:pt idx="55">
                  <c:v>171.70329519819262</c:v>
                </c:pt>
                <c:pt idx="56">
                  <c:v>178.65656913597064</c:v>
                </c:pt>
                <c:pt idx="57">
                  <c:v>180.92702593197981</c:v>
                </c:pt>
                <c:pt idx="58">
                  <c:v>197.81354835229794</c:v>
                </c:pt>
                <c:pt idx="59">
                  <c:v>208.17250748408972</c:v>
                </c:pt>
                <c:pt idx="60">
                  <c:v>209.4496394318449</c:v>
                </c:pt>
                <c:pt idx="61">
                  <c:v>204.48301519057486</c:v>
                </c:pt>
                <c:pt idx="62">
                  <c:v>207.03727908608514</c:v>
                </c:pt>
                <c:pt idx="63">
                  <c:v>194.40786315828419</c:v>
                </c:pt>
                <c:pt idx="64">
                  <c:v>191.85359926277391</c:v>
                </c:pt>
                <c:pt idx="65">
                  <c:v>198.9487767503025</c:v>
                </c:pt>
                <c:pt idx="66">
                  <c:v>192.8469241110279</c:v>
                </c:pt>
                <c:pt idx="67">
                  <c:v>184.190807576243</c:v>
                </c:pt>
                <c:pt idx="68">
                  <c:v>165.88524965841916</c:v>
                </c:pt>
                <c:pt idx="69">
                  <c:v>168.01380290467773</c:v>
                </c:pt>
                <c:pt idx="70">
                  <c:v>170.00045260118574</c:v>
                </c:pt>
                <c:pt idx="71">
                  <c:v>174.68326974295465</c:v>
                </c:pt>
                <c:pt idx="72">
                  <c:v>177.80514783746722</c:v>
                </c:pt>
                <c:pt idx="73">
                  <c:v>181.77844723048327</c:v>
                </c:pt>
                <c:pt idx="74">
                  <c:v>183.19748272798898</c:v>
                </c:pt>
                <c:pt idx="75">
                  <c:v>170.00045260118574</c:v>
                </c:pt>
                <c:pt idx="76">
                  <c:v>161.628143165902</c:v>
                </c:pt>
                <c:pt idx="77">
                  <c:v>172.69662004644664</c:v>
                </c:pt>
                <c:pt idx="78">
                  <c:v>181.77844723048327</c:v>
                </c:pt>
                <c:pt idx="79">
                  <c:v>175.53469104145807</c:v>
                </c:pt>
                <c:pt idx="80">
                  <c:v>169.14903130268232</c:v>
                </c:pt>
                <c:pt idx="81">
                  <c:v>157.79674732263652</c:v>
                </c:pt>
                <c:pt idx="82">
                  <c:v>152.12060533261365</c:v>
                </c:pt>
                <c:pt idx="83">
                  <c:v>152.40441243211478</c:v>
                </c:pt>
                <c:pt idx="84">
                  <c:v>151.69489468336189</c:v>
                </c:pt>
                <c:pt idx="85">
                  <c:v>153.39773728036877</c:v>
                </c:pt>
                <c:pt idx="86">
                  <c:v>157.65484377288595</c:v>
                </c:pt>
                <c:pt idx="87">
                  <c:v>160.35101121814682</c:v>
                </c:pt>
                <c:pt idx="88">
                  <c:v>158.08055442213768</c:v>
                </c:pt>
                <c:pt idx="89">
                  <c:v>162.19575736490427</c:v>
                </c:pt>
                <c:pt idx="90">
                  <c:v>159.21578282014227</c:v>
                </c:pt>
                <c:pt idx="91">
                  <c:v>166.02715320816972</c:v>
                </c:pt>
                <c:pt idx="92">
                  <c:v>160.77672186739855</c:v>
                </c:pt>
                <c:pt idx="93">
                  <c:v>161.91195026540314</c:v>
                </c:pt>
                <c:pt idx="94">
                  <c:v>170.45454396038758</c:v>
                </c:pt>
                <c:pt idx="95">
                  <c:v>174.96707684245578</c:v>
                </c:pt>
                <c:pt idx="96">
                  <c:v>163.89859996191115</c:v>
                </c:pt>
                <c:pt idx="97">
                  <c:v>152.12060533261365</c:v>
                </c:pt>
                <c:pt idx="98">
                  <c:v>139.63309295456327</c:v>
                </c:pt>
                <c:pt idx="99">
                  <c:v>137.50453970830466</c:v>
                </c:pt>
                <c:pt idx="100">
                  <c:v>130.97697641977834</c:v>
                </c:pt>
                <c:pt idx="101">
                  <c:v>114.94187529796365</c:v>
                </c:pt>
                <c:pt idx="102">
                  <c:v>122.60466698449457</c:v>
                </c:pt>
                <c:pt idx="103">
                  <c:v>120.3342101884854</c:v>
                </c:pt>
                <c:pt idx="104">
                  <c:v>102.58336614695926</c:v>
                </c:pt>
                <c:pt idx="105">
                  <c:v>105.89874908204078</c:v>
                </c:pt>
                <c:pt idx="106">
                  <c:v>114.39453303464001</c:v>
                </c:pt>
                <c:pt idx="107">
                  <c:v>114.6129170689964</c:v>
                </c:pt>
                <c:pt idx="108">
                  <c:v>115.08377884771421</c:v>
                </c:pt>
                <c:pt idx="109">
                  <c:v>96.778220929890395</c:v>
                </c:pt>
                <c:pt idx="110">
                  <c:v>85.425936949844584</c:v>
                </c:pt>
                <c:pt idx="111">
                  <c:v>76.911723964810236</c:v>
                </c:pt>
                <c:pt idx="112">
                  <c:v>81.594541106579129</c:v>
                </c:pt>
                <c:pt idx="113">
                  <c:v>85.625891951765865</c:v>
                </c:pt>
                <c:pt idx="114">
                  <c:v>76.331209443103376</c:v>
                </c:pt>
                <c:pt idx="115">
                  <c:v>81.594541106579129</c:v>
                </c:pt>
                <c:pt idx="116">
                  <c:v>94.649667683631804</c:v>
                </c:pt>
                <c:pt idx="117">
                  <c:v>96.068703181137522</c:v>
                </c:pt>
                <c:pt idx="118">
                  <c:v>92.237307337872068</c:v>
                </c:pt>
                <c:pt idx="119">
                  <c:v>85.284033400094017</c:v>
                </c:pt>
                <c:pt idx="120">
                  <c:v>79.634920657642624</c:v>
                </c:pt>
                <c:pt idx="121">
                  <c:v>75.066977818052806</c:v>
                </c:pt>
                <c:pt idx="122">
                  <c:v>72.938424571794215</c:v>
                </c:pt>
                <c:pt idx="123">
                  <c:v>85.425936949844584</c:v>
                </c:pt>
                <c:pt idx="124">
                  <c:v>98.055352877645547</c:v>
                </c:pt>
                <c:pt idx="125">
                  <c:v>118.7732711412291</c:v>
                </c:pt>
                <c:pt idx="126">
                  <c:v>136.65311840980127</c:v>
                </c:pt>
                <c:pt idx="127">
                  <c:v>148.1473059395976</c:v>
                </c:pt>
                <c:pt idx="128">
                  <c:v>142.32926039982411</c:v>
                </c:pt>
                <c:pt idx="129">
                  <c:v>152.5334156591606</c:v>
                </c:pt>
                <c:pt idx="130">
                  <c:v>140.91022490231839</c:v>
                </c:pt>
                <c:pt idx="131">
                  <c:v>142.18735685007354</c:v>
                </c:pt>
                <c:pt idx="132">
                  <c:v>146.48961447205656</c:v>
                </c:pt>
                <c:pt idx="133">
                  <c:v>140.10137466874014</c:v>
                </c:pt>
                <c:pt idx="134">
                  <c:v>131.59619190959896</c:v>
                </c:pt>
                <c:pt idx="135">
                  <c:v>124.09465425687556</c:v>
                </c:pt>
                <c:pt idx="136">
                  <c:v>136.00165211321908</c:v>
                </c:pt>
                <c:pt idx="137">
                  <c:v>128.31459553398184</c:v>
                </c:pt>
                <c:pt idx="138">
                  <c:v>124.79127168292385</c:v>
                </c:pt>
                <c:pt idx="139">
                  <c:v>115.13313660414912</c:v>
                </c:pt>
                <c:pt idx="140">
                  <c:v>108.41431200943732</c:v>
                </c:pt>
                <c:pt idx="141">
                  <c:v>96.364849719747397</c:v>
                </c:pt>
                <c:pt idx="142">
                  <c:v>108.88968890110174</c:v>
                </c:pt>
                <c:pt idx="143">
                  <c:v>111.11047945469821</c:v>
                </c:pt>
                <c:pt idx="144">
                  <c:v>110.48204944866001</c:v>
                </c:pt>
                <c:pt idx="145">
                  <c:v>92.883756842291263</c:v>
                </c:pt>
                <c:pt idx="146">
                  <c:v>95.039902445445861</c:v>
                </c:pt>
                <c:pt idx="147">
                  <c:v>97.707044164621337</c:v>
                </c:pt>
                <c:pt idx="148">
                  <c:v>86.160133576814914</c:v>
                </c:pt>
                <c:pt idx="149">
                  <c:v>81.594541106579129</c:v>
                </c:pt>
                <c:pt idx="150">
                  <c:v>90.633180253735162</c:v>
                </c:pt>
                <c:pt idx="151">
                  <c:v>89.321834406632959</c:v>
                </c:pt>
                <c:pt idx="152">
                  <c:v>98.764870626398391</c:v>
                </c:pt>
                <c:pt idx="153">
                  <c:v>106.56956586267987</c:v>
                </c:pt>
                <c:pt idx="154">
                  <c:v>111.11047945469821</c:v>
                </c:pt>
                <c:pt idx="155">
                  <c:v>112.81332205170507</c:v>
                </c:pt>
                <c:pt idx="156">
                  <c:v>116.21900724571881</c:v>
                </c:pt>
                <c:pt idx="157">
                  <c:v>127.71319477551518</c:v>
                </c:pt>
                <c:pt idx="158">
                  <c:v>116.78662144472109</c:v>
                </c:pt>
                <c:pt idx="159">
                  <c:v>109.97525105669361</c:v>
                </c:pt>
                <c:pt idx="160">
                  <c:v>101.74484517116042</c:v>
                </c:pt>
                <c:pt idx="161">
                  <c:v>95.359185432384663</c:v>
                </c:pt>
                <c:pt idx="162">
                  <c:v>97.062028029391527</c:v>
                </c:pt>
                <c:pt idx="163">
                  <c:v>96.920124479640961</c:v>
                </c:pt>
                <c:pt idx="164">
                  <c:v>84.909924041660631</c:v>
                </c:pt>
                <c:pt idx="165">
                  <c:v>84.556006492677994</c:v>
                </c:pt>
                <c:pt idx="166">
                  <c:v>86.277358248348023</c:v>
                </c:pt>
                <c:pt idx="167">
                  <c:v>89.17624505039538</c:v>
                </c:pt>
                <c:pt idx="168">
                  <c:v>82.38514659804666</c:v>
                </c:pt>
                <c:pt idx="169">
                  <c:v>82.921339296746993</c:v>
                </c:pt>
                <c:pt idx="170">
                  <c:v>91.632674821543588</c:v>
                </c:pt>
                <c:pt idx="171">
                  <c:v>93.308679138488898</c:v>
                </c:pt>
                <c:pt idx="172">
                  <c:v>89.951913326099657</c:v>
                </c:pt>
                <c:pt idx="173">
                  <c:v>98.339159977146679</c:v>
                </c:pt>
                <c:pt idx="174">
                  <c:v>112.30375930487348</c:v>
                </c:pt>
                <c:pt idx="175">
                  <c:v>107.5048392587632</c:v>
                </c:pt>
                <c:pt idx="176">
                  <c:v>109.07867862872406</c:v>
                </c:pt>
                <c:pt idx="177">
                  <c:v>119.92877147491232</c:v>
                </c:pt>
                <c:pt idx="178">
                  <c:v>115.8126470805239</c:v>
                </c:pt>
                <c:pt idx="179">
                  <c:v>117.05191938555907</c:v>
                </c:pt>
                <c:pt idx="180">
                  <c:v>123.746652694392</c:v>
                </c:pt>
                <c:pt idx="181">
                  <c:v>129.16770616045852</c:v>
                </c:pt>
                <c:pt idx="182">
                  <c:v>126.02886133717146</c:v>
                </c:pt>
                <c:pt idx="183">
                  <c:v>121.88839192384881</c:v>
                </c:pt>
                <c:pt idx="184">
                  <c:v>121.83129263835394</c:v>
                </c:pt>
                <c:pt idx="185">
                  <c:v>128.44206300832496</c:v>
                </c:pt>
                <c:pt idx="186">
                  <c:v>136.78150733576604</c:v>
                </c:pt>
                <c:pt idx="187">
                  <c:v>140.97809181741647</c:v>
                </c:pt>
                <c:pt idx="188">
                  <c:v>146.30255979284016</c:v>
                </c:pt>
                <c:pt idx="189">
                  <c:v>157.81701925831558</c:v>
                </c:pt>
                <c:pt idx="190">
                  <c:v>161.50430006793746</c:v>
                </c:pt>
                <c:pt idx="191">
                  <c:v>189.36690848619239</c:v>
                </c:pt>
                <c:pt idx="192">
                  <c:v>223.45754698579486</c:v>
                </c:pt>
                <c:pt idx="193">
                  <c:v>254.64592002740218</c:v>
                </c:pt>
                <c:pt idx="194">
                  <c:v>244.65405920909572</c:v>
                </c:pt>
                <c:pt idx="195">
                  <c:v>248.1577743915847</c:v>
                </c:pt>
                <c:pt idx="196">
                  <c:v>238.69528530424881</c:v>
                </c:pt>
                <c:pt idx="197">
                  <c:v>218.52501645452986</c:v>
                </c:pt>
                <c:pt idx="198">
                  <c:v>227.75519734966872</c:v>
                </c:pt>
                <c:pt idx="199">
                  <c:v>190.89112301229207</c:v>
                </c:pt>
                <c:pt idx="200">
                  <c:v>171.4667892819412</c:v>
                </c:pt>
                <c:pt idx="201">
                  <c:v>165.16928174831463</c:v>
                </c:pt>
                <c:pt idx="202">
                  <c:v>167.14948128346958</c:v>
                </c:pt>
                <c:pt idx="203">
                  <c:v>164.19592168519833</c:v>
                </c:pt>
                <c:pt idx="204">
                  <c:v>155.36310144441418</c:v>
                </c:pt>
                <c:pt idx="205">
                  <c:v>149.99205208635505</c:v>
                </c:pt>
                <c:pt idx="206">
                  <c:v>148.1473059395976</c:v>
                </c:pt>
                <c:pt idx="207">
                  <c:v>137.93025035755639</c:v>
                </c:pt>
                <c:pt idx="208">
                  <c:v>133.81504741478977</c:v>
                </c:pt>
                <c:pt idx="209">
                  <c:v>131.82839771828176</c:v>
                </c:pt>
                <c:pt idx="210">
                  <c:v>144.31591009633215</c:v>
                </c:pt>
                <c:pt idx="211">
                  <c:v>139.14568510976778</c:v>
                </c:pt>
                <c:pt idx="212">
                  <c:v>138.44309476542685</c:v>
                </c:pt>
                <c:pt idx="213">
                  <c:v>141.91588918968128</c:v>
                </c:pt>
                <c:pt idx="214">
                  <c:v>143.2871093606405</c:v>
                </c:pt>
                <c:pt idx="215">
                  <c:v>151.95842984718399</c:v>
                </c:pt>
                <c:pt idx="216">
                  <c:v>170.00045260118574</c:v>
                </c:pt>
                <c:pt idx="217">
                  <c:v>191.71169571302335</c:v>
                </c:pt>
                <c:pt idx="218">
                  <c:v>187.3126856707556</c:v>
                </c:pt>
                <c:pt idx="219">
                  <c:v>178.23730864807058</c:v>
                </c:pt>
                <c:pt idx="220">
                  <c:v>171.29048487164562</c:v>
                </c:pt>
                <c:pt idx="221">
                  <c:v>172.06143272851554</c:v>
                </c:pt>
                <c:pt idx="222">
                  <c:v>201.92875129506453</c:v>
                </c:pt>
                <c:pt idx="223">
                  <c:v>207.2737850023361</c:v>
                </c:pt>
                <c:pt idx="224">
                  <c:v>192.00901743631022</c:v>
                </c:pt>
                <c:pt idx="225">
                  <c:v>168.86522420318119</c:v>
                </c:pt>
                <c:pt idx="226">
                  <c:v>171.70329519819262</c:v>
                </c:pt>
                <c:pt idx="227">
                  <c:v>166.73667095692258</c:v>
                </c:pt>
                <c:pt idx="228">
                  <c:v>177.52134073796609</c:v>
                </c:pt>
                <c:pt idx="229">
                  <c:v>187.7383963200073</c:v>
                </c:pt>
                <c:pt idx="230">
                  <c:v>190.15075666576703</c:v>
                </c:pt>
                <c:pt idx="231">
                  <c:v>193.65577434460616</c:v>
                </c:pt>
                <c:pt idx="232">
                  <c:v>227.83403265508576</c:v>
                </c:pt>
                <c:pt idx="233">
                  <c:v>233.10883127207666</c:v>
                </c:pt>
                <c:pt idx="234">
                  <c:v>261.47664089948648</c:v>
                </c:pt>
                <c:pt idx="235">
                  <c:v>318.37007410205928</c:v>
                </c:pt>
                <c:pt idx="236">
                  <c:v>326.91199206585441</c:v>
                </c:pt>
                <c:pt idx="237">
                  <c:v>321.3276880874667</c:v>
                </c:pt>
                <c:pt idx="238">
                  <c:v>315.92460292802434</c:v>
                </c:pt>
                <c:pt idx="239">
                  <c:v>333.96355417661988</c:v>
                </c:pt>
                <c:pt idx="240">
                  <c:v>375.53355405991493</c:v>
                </c:pt>
                <c:pt idx="241">
                  <c:v>360.81815595078041</c:v>
                </c:pt>
                <c:pt idx="242">
                  <c:v>264.82287243233998</c:v>
                </c:pt>
                <c:pt idx="243">
                  <c:v>233.42458202779869</c:v>
                </c:pt>
                <c:pt idx="244">
                  <c:v>215.72177633082021</c:v>
                </c:pt>
                <c:pt idx="245">
                  <c:v>224.94292700006645</c:v>
                </c:pt>
                <c:pt idx="246">
                  <c:v>247.36368786065691</c:v>
                </c:pt>
                <c:pt idx="247">
                  <c:v>262.70217155642337</c:v>
                </c:pt>
                <c:pt idx="248">
                  <c:v>318.08970708861256</c:v>
                </c:pt>
                <c:pt idx="249">
                  <c:v>349.28545174319464</c:v>
                </c:pt>
                <c:pt idx="250">
                  <c:v>373.36758987781297</c:v>
                </c:pt>
                <c:pt idx="251">
                  <c:v>398.4318512140137</c:v>
                </c:pt>
                <c:pt idx="252">
                  <c:v>420.16222045646981</c:v>
                </c:pt>
                <c:pt idx="253">
                  <c:v>418.19722972281863</c:v>
                </c:pt>
                <c:pt idx="254">
                  <c:v>372.33023566728463</c:v>
                </c:pt>
                <c:pt idx="255">
                  <c:v>345.65001794482276</c:v>
                </c:pt>
                <c:pt idx="256">
                  <c:v>312.22006025802085</c:v>
                </c:pt>
                <c:pt idx="257">
                  <c:v>357.68079746902231</c:v>
                </c:pt>
                <c:pt idx="258">
                  <c:v>400.4045162128653</c:v>
                </c:pt>
                <c:pt idx="259">
                  <c:v>393.73093622821864</c:v>
                </c:pt>
                <c:pt idx="260">
                  <c:v>378.95342960890355</c:v>
                </c:pt>
                <c:pt idx="261">
                  <c:v>361.17832067467123</c:v>
                </c:pt>
                <c:pt idx="262">
                  <c:v>339.89770262073466</c:v>
                </c:pt>
                <c:pt idx="263">
                  <c:v>326.91649694044969</c:v>
                </c:pt>
                <c:pt idx="264">
                  <c:v>334.30449127666992</c:v>
                </c:pt>
                <c:pt idx="265">
                  <c:v>342.29163393405935</c:v>
                </c:pt>
                <c:pt idx="266">
                  <c:v>341.94455382319757</c:v>
                </c:pt>
                <c:pt idx="267">
                  <c:v>323.96580408055684</c:v>
                </c:pt>
                <c:pt idx="268">
                  <c:v>294.58501197029545</c:v>
                </c:pt>
                <c:pt idx="269">
                  <c:v>290.43602246806444</c:v>
                </c:pt>
                <c:pt idx="270">
                  <c:v>324.29927742247065</c:v>
                </c:pt>
                <c:pt idx="271">
                  <c:v>296.63002026951472</c:v>
                </c:pt>
              </c:numCache>
            </c:numRef>
          </c:yVal>
          <c:smooth val="0"/>
        </c:ser>
        <c:ser>
          <c:idx val="2"/>
          <c:order val="1"/>
          <c:tx>
            <c:strRef>
              <c:f>'World Food Prices'!$D$3</c:f>
              <c:strCache>
                <c:ptCount val="1"/>
                <c:pt idx="0">
                  <c:v>Grains</c:v>
                </c:pt>
              </c:strCache>
            </c:strRef>
          </c:tx>
          <c:spPr>
            <a:ln w="19050">
              <a:solidFill>
                <a:srgbClr val="FFC000"/>
              </a:solidFill>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Prices'!$D$6:$D$277</c:f>
              <c:numCache>
                <c:formatCode>0.0</c:formatCode>
                <c:ptCount val="272"/>
                <c:pt idx="0">
                  <c:v>106.64036496112075</c:v>
                </c:pt>
                <c:pt idx="1">
                  <c:v>104.37410019994707</c:v>
                </c:pt>
                <c:pt idx="2">
                  <c:v>102.72887614365514</c:v>
                </c:pt>
                <c:pt idx="3">
                  <c:v>105.61581110245112</c:v>
                </c:pt>
                <c:pt idx="4">
                  <c:v>105.52653810516357</c:v>
                </c:pt>
                <c:pt idx="5">
                  <c:v>103.25062437124944</c:v>
                </c:pt>
                <c:pt idx="6">
                  <c:v>97.263081074213517</c:v>
                </c:pt>
                <c:pt idx="7">
                  <c:v>93.449262275459319</c:v>
                </c:pt>
                <c:pt idx="8">
                  <c:v>87.790028246877853</c:v>
                </c:pt>
                <c:pt idx="9">
                  <c:v>88.924346400231912</c:v>
                </c:pt>
                <c:pt idx="10">
                  <c:v>88.164426634600773</c:v>
                </c:pt>
                <c:pt idx="11">
                  <c:v>88.880879223643561</c:v>
                </c:pt>
                <c:pt idx="12">
                  <c:v>90.433494856667949</c:v>
                </c:pt>
                <c:pt idx="13">
                  <c:v>92.099526647874882</c:v>
                </c:pt>
                <c:pt idx="14">
                  <c:v>95.04039207010338</c:v>
                </c:pt>
                <c:pt idx="15">
                  <c:v>96.525458880167136</c:v>
                </c:pt>
                <c:pt idx="16">
                  <c:v>95.463489116917401</c:v>
                </c:pt>
                <c:pt idx="17">
                  <c:v>94.557855405741947</c:v>
                </c:pt>
                <c:pt idx="18">
                  <c:v>93.595881357151555</c:v>
                </c:pt>
                <c:pt idx="19">
                  <c:v>97.90430820771293</c:v>
                </c:pt>
                <c:pt idx="20">
                  <c:v>98.77774602250507</c:v>
                </c:pt>
                <c:pt idx="21">
                  <c:v>102.11303348290204</c:v>
                </c:pt>
                <c:pt idx="22">
                  <c:v>102.46945178839846</c:v>
                </c:pt>
                <c:pt idx="23">
                  <c:v>105.65919385407358</c:v>
                </c:pt>
                <c:pt idx="24">
                  <c:v>107.77133111227529</c:v>
                </c:pt>
                <c:pt idx="25">
                  <c:v>111.19038476020421</c:v>
                </c:pt>
                <c:pt idx="26">
                  <c:v>110.93427969501082</c:v>
                </c:pt>
                <c:pt idx="27">
                  <c:v>105.7935544036866</c:v>
                </c:pt>
                <c:pt idx="28">
                  <c:v>104.56605500319208</c:v>
                </c:pt>
                <c:pt idx="29">
                  <c:v>103.78536116647896</c:v>
                </c:pt>
                <c:pt idx="30">
                  <c:v>99.0205034849009</c:v>
                </c:pt>
                <c:pt idx="31">
                  <c:v>94.320933311586217</c:v>
                </c:pt>
                <c:pt idx="32">
                  <c:v>97.806880221009749</c:v>
                </c:pt>
                <c:pt idx="33">
                  <c:v>97.703970578792251</c:v>
                </c:pt>
                <c:pt idx="34">
                  <c:v>98.922538498446642</c:v>
                </c:pt>
                <c:pt idx="35">
                  <c:v>97.661481795842946</c:v>
                </c:pt>
                <c:pt idx="36">
                  <c:v>98.789906261765566</c:v>
                </c:pt>
                <c:pt idx="37">
                  <c:v>97.472619109917986</c:v>
                </c:pt>
                <c:pt idx="38">
                  <c:v>97.336783505656655</c:v>
                </c:pt>
                <c:pt idx="39">
                  <c:v>96.447976806168214</c:v>
                </c:pt>
                <c:pt idx="40">
                  <c:v>93.35525793845477</c:v>
                </c:pt>
                <c:pt idx="41">
                  <c:v>88.882920968822617</c:v>
                </c:pt>
                <c:pt idx="42">
                  <c:v>94.096524003061418</c:v>
                </c:pt>
                <c:pt idx="43">
                  <c:v>95.594241062570333</c:v>
                </c:pt>
                <c:pt idx="44">
                  <c:v>98.494438233691028</c:v>
                </c:pt>
                <c:pt idx="45">
                  <c:v>104.22459368873353</c:v>
                </c:pt>
                <c:pt idx="46">
                  <c:v>113.24263784648524</c:v>
                </c:pt>
                <c:pt idx="47">
                  <c:v>116.55883776059932</c:v>
                </c:pt>
                <c:pt idx="48">
                  <c:v>115.97897672428235</c:v>
                </c:pt>
                <c:pt idx="49">
                  <c:v>113.3308250826979</c:v>
                </c:pt>
                <c:pt idx="50">
                  <c:v>108.65592821105741</c:v>
                </c:pt>
                <c:pt idx="51">
                  <c:v>105.82407301669232</c:v>
                </c:pt>
                <c:pt idx="52">
                  <c:v>104.42023337893428</c:v>
                </c:pt>
                <c:pt idx="53">
                  <c:v>101.61900745187444</c:v>
                </c:pt>
                <c:pt idx="54">
                  <c:v>94.543217798132858</c:v>
                </c:pt>
                <c:pt idx="55">
                  <c:v>96.698691839567545</c:v>
                </c:pt>
                <c:pt idx="56">
                  <c:v>101.59510264930796</c:v>
                </c:pt>
                <c:pt idx="57">
                  <c:v>103.77948113532487</c:v>
                </c:pt>
                <c:pt idx="58">
                  <c:v>102.72194964793863</c:v>
                </c:pt>
                <c:pt idx="59">
                  <c:v>105.42218153969711</c:v>
                </c:pt>
                <c:pt idx="60">
                  <c:v>105.86144151325117</c:v>
                </c:pt>
                <c:pt idx="61">
                  <c:v>104.97585244315454</c:v>
                </c:pt>
                <c:pt idx="62">
                  <c:v>104.41722222912156</c:v>
                </c:pt>
                <c:pt idx="63">
                  <c:v>105.30496488719463</c:v>
                </c:pt>
                <c:pt idx="64">
                  <c:v>109.64255583513551</c:v>
                </c:pt>
                <c:pt idx="65">
                  <c:v>116.57572190144487</c:v>
                </c:pt>
                <c:pt idx="66">
                  <c:v>124.77114998321458</c:v>
                </c:pt>
                <c:pt idx="67">
                  <c:v>122.29574287294756</c:v>
                </c:pt>
                <c:pt idx="68">
                  <c:v>127.77086993735239</c:v>
                </c:pt>
                <c:pt idx="69">
                  <c:v>135.1823889970548</c:v>
                </c:pt>
                <c:pt idx="70">
                  <c:v>135.4053793455318</c:v>
                </c:pt>
                <c:pt idx="71">
                  <c:v>138.93755518471221</c:v>
                </c:pt>
                <c:pt idx="72">
                  <c:v>139.95880322060214</c:v>
                </c:pt>
                <c:pt idx="73">
                  <c:v>143.74166982937595</c:v>
                </c:pt>
                <c:pt idx="74">
                  <c:v>146.16952438688912</c:v>
                </c:pt>
                <c:pt idx="75">
                  <c:v>160.17244989335387</c:v>
                </c:pt>
                <c:pt idx="76">
                  <c:v>167.90577733028533</c:v>
                </c:pt>
                <c:pt idx="77">
                  <c:v>158.55548022169063</c:v>
                </c:pt>
                <c:pt idx="78">
                  <c:v>153.04956688727432</c:v>
                </c:pt>
                <c:pt idx="79">
                  <c:v>144.76892016968705</c:v>
                </c:pt>
                <c:pt idx="80">
                  <c:v>126.45917316166548</c:v>
                </c:pt>
                <c:pt idx="81">
                  <c:v>120.04530749325365</c:v>
                </c:pt>
                <c:pt idx="82">
                  <c:v>114.22836319748168</c:v>
                </c:pt>
                <c:pt idx="83">
                  <c:v>114.66659354193142</c:v>
                </c:pt>
                <c:pt idx="84">
                  <c:v>114.7704970385585</c:v>
                </c:pt>
                <c:pt idx="85">
                  <c:v>115.59574836165642</c:v>
                </c:pt>
                <c:pt idx="86">
                  <c:v>119.09098111857931</c:v>
                </c:pt>
                <c:pt idx="87">
                  <c:v>119.578049318358</c:v>
                </c:pt>
                <c:pt idx="88">
                  <c:v>116.09412474963047</c:v>
                </c:pt>
                <c:pt idx="89">
                  <c:v>109.79851421565867</c:v>
                </c:pt>
                <c:pt idx="90">
                  <c:v>105.16834861900304</c:v>
                </c:pt>
                <c:pt idx="91">
                  <c:v>110.65696915590627</c:v>
                </c:pt>
                <c:pt idx="92">
                  <c:v>109.898920007695</c:v>
                </c:pt>
                <c:pt idx="93">
                  <c:v>111.05876850192467</c:v>
                </c:pt>
                <c:pt idx="94">
                  <c:v>108.99426832277696</c:v>
                </c:pt>
                <c:pt idx="95">
                  <c:v>107.62736756313095</c:v>
                </c:pt>
                <c:pt idx="96">
                  <c:v>106.34801873347052</c:v>
                </c:pt>
                <c:pt idx="97">
                  <c:v>106.31167148965163</c:v>
                </c:pt>
                <c:pt idx="98">
                  <c:v>106.89722065873201</c:v>
                </c:pt>
                <c:pt idx="99">
                  <c:v>103.00933670135862</c:v>
                </c:pt>
                <c:pt idx="100">
                  <c:v>102.00041160830844</c:v>
                </c:pt>
                <c:pt idx="101">
                  <c:v>100.21059504452165</c:v>
                </c:pt>
                <c:pt idx="102">
                  <c:v>97.532267874277693</c:v>
                </c:pt>
                <c:pt idx="103">
                  <c:v>91.711289225359636</c:v>
                </c:pt>
                <c:pt idx="104">
                  <c:v>91.490690892641098</c:v>
                </c:pt>
                <c:pt idx="105">
                  <c:v>97.867000359221748</c:v>
                </c:pt>
                <c:pt idx="106">
                  <c:v>98.778005535930888</c:v>
                </c:pt>
                <c:pt idx="107">
                  <c:v>96.631863956426216</c:v>
                </c:pt>
                <c:pt idx="108">
                  <c:v>97.17377772188118</c:v>
                </c:pt>
                <c:pt idx="109">
                  <c:v>93.615287978641703</c:v>
                </c:pt>
                <c:pt idx="110">
                  <c:v>93.993373638298266</c:v>
                </c:pt>
                <c:pt idx="111">
                  <c:v>91.816641774952302</c:v>
                </c:pt>
                <c:pt idx="112">
                  <c:v>90.337636172710361</c:v>
                </c:pt>
                <c:pt idx="113">
                  <c:v>91.407796752830066</c:v>
                </c:pt>
                <c:pt idx="114">
                  <c:v>88.091247843771612</c:v>
                </c:pt>
                <c:pt idx="115">
                  <c:v>90.647784125878943</c:v>
                </c:pt>
                <c:pt idx="116">
                  <c:v>89.946240645223924</c:v>
                </c:pt>
                <c:pt idx="117">
                  <c:v>87.574094394188236</c:v>
                </c:pt>
                <c:pt idx="118">
                  <c:v>87.007087454475879</c:v>
                </c:pt>
                <c:pt idx="119">
                  <c:v>85.262935646795782</c:v>
                </c:pt>
                <c:pt idx="120">
                  <c:v>87.593902890290991</c:v>
                </c:pt>
                <c:pt idx="121">
                  <c:v>88.756128610263005</c:v>
                </c:pt>
                <c:pt idx="122">
                  <c:v>87.324797431112103</c:v>
                </c:pt>
                <c:pt idx="123">
                  <c:v>86.793179774855844</c:v>
                </c:pt>
                <c:pt idx="124">
                  <c:v>87.075602063871585</c:v>
                </c:pt>
                <c:pt idx="125">
                  <c:v>83.222593999597649</c:v>
                </c:pt>
                <c:pt idx="126">
                  <c:v>79.246511142608355</c:v>
                </c:pt>
                <c:pt idx="127">
                  <c:v>78.368307584881705</c:v>
                </c:pt>
                <c:pt idx="128">
                  <c:v>81.37990259866595</c:v>
                </c:pt>
                <c:pt idx="129">
                  <c:v>85.493243388089795</c:v>
                </c:pt>
                <c:pt idx="130">
                  <c:v>86.878806940451057</c:v>
                </c:pt>
                <c:pt idx="131">
                  <c:v>90.05798989637843</c:v>
                </c:pt>
                <c:pt idx="132">
                  <c:v>89.98204385551675</c:v>
                </c:pt>
                <c:pt idx="133">
                  <c:v>88.363988756585798</c:v>
                </c:pt>
                <c:pt idx="134">
                  <c:v>87.353602902488291</c:v>
                </c:pt>
                <c:pt idx="135">
                  <c:v>85.021175026598286</c:v>
                </c:pt>
                <c:pt idx="136">
                  <c:v>84.926941904142865</c:v>
                </c:pt>
                <c:pt idx="137">
                  <c:v>84.367417211326156</c:v>
                </c:pt>
                <c:pt idx="138">
                  <c:v>87.617898444115696</c:v>
                </c:pt>
                <c:pt idx="139">
                  <c:v>86.614446938988749</c:v>
                </c:pt>
                <c:pt idx="140">
                  <c:v>85.714195401933523</c:v>
                </c:pt>
                <c:pt idx="141">
                  <c:v>85.193345694609093</c:v>
                </c:pt>
                <c:pt idx="142">
                  <c:v>86.52885563934278</c:v>
                </c:pt>
                <c:pt idx="143">
                  <c:v>86.811875986372044</c:v>
                </c:pt>
                <c:pt idx="144">
                  <c:v>86.960439306952566</c:v>
                </c:pt>
                <c:pt idx="145">
                  <c:v>85.148139218349684</c:v>
                </c:pt>
                <c:pt idx="146">
                  <c:v>84.301268809956127</c:v>
                </c:pt>
                <c:pt idx="147">
                  <c:v>82.350155115284196</c:v>
                </c:pt>
                <c:pt idx="148">
                  <c:v>84.34450086408647</c:v>
                </c:pt>
                <c:pt idx="149">
                  <c:v>87.078770303783244</c:v>
                </c:pt>
                <c:pt idx="150">
                  <c:v>93.263885328407497</c:v>
                </c:pt>
                <c:pt idx="151">
                  <c:v>100.1708945483246</c:v>
                </c:pt>
                <c:pt idx="152">
                  <c:v>110.71826782220974</c:v>
                </c:pt>
                <c:pt idx="153">
                  <c:v>109.84314535366859</c:v>
                </c:pt>
                <c:pt idx="154">
                  <c:v>107.35627715922566</c:v>
                </c:pt>
                <c:pt idx="155">
                  <c:v>101.28138884243606</c:v>
                </c:pt>
                <c:pt idx="156">
                  <c:v>98.489330941442745</c:v>
                </c:pt>
                <c:pt idx="157">
                  <c:v>98.448450620564032</c:v>
                </c:pt>
                <c:pt idx="158">
                  <c:v>95.80987996876101</c:v>
                </c:pt>
                <c:pt idx="159">
                  <c:v>95.5234616607178</c:v>
                </c:pt>
                <c:pt idx="160">
                  <c:v>97.459466575495156</c:v>
                </c:pt>
                <c:pt idx="161">
                  <c:v>95.802552251988089</c:v>
                </c:pt>
                <c:pt idx="162">
                  <c:v>92.823468410365138</c:v>
                </c:pt>
                <c:pt idx="163">
                  <c:v>97.732749978033752</c:v>
                </c:pt>
                <c:pt idx="164">
                  <c:v>97.623897999429374</c:v>
                </c:pt>
                <c:pt idx="165">
                  <c:v>98.51347711177408</c:v>
                </c:pt>
                <c:pt idx="166">
                  <c:v>103.69492720933451</c:v>
                </c:pt>
                <c:pt idx="167">
                  <c:v>105.44644022059285</c:v>
                </c:pt>
                <c:pt idx="168">
                  <c:v>108.06599875182502</c:v>
                </c:pt>
                <c:pt idx="169">
                  <c:v>110.66994838082267</c:v>
                </c:pt>
                <c:pt idx="170">
                  <c:v>114.8060624669781</c:v>
                </c:pt>
                <c:pt idx="171">
                  <c:v>117.71997767790225</c:v>
                </c:pt>
                <c:pt idx="172">
                  <c:v>115.44857185006353</c:v>
                </c:pt>
                <c:pt idx="173">
                  <c:v>111.73489319613547</c:v>
                </c:pt>
                <c:pt idx="174">
                  <c:v>103.12208866275577</c:v>
                </c:pt>
                <c:pt idx="175">
                  <c:v>100.61472799336126</c:v>
                </c:pt>
                <c:pt idx="176">
                  <c:v>101.7136932881583</c:v>
                </c:pt>
                <c:pt idx="177">
                  <c:v>100.68709130474834</c:v>
                </c:pt>
                <c:pt idx="178">
                  <c:v>102.15381056677111</c:v>
                </c:pt>
                <c:pt idx="179">
                  <c:v>103.07790023929495</c:v>
                </c:pt>
                <c:pt idx="180">
                  <c:v>104.12834091536153</c:v>
                </c:pt>
                <c:pt idx="181">
                  <c:v>102.57230563439397</c:v>
                </c:pt>
                <c:pt idx="182">
                  <c:v>105.11984187063072</c:v>
                </c:pt>
                <c:pt idx="183">
                  <c:v>100.72344397308299</c:v>
                </c:pt>
                <c:pt idx="184">
                  <c:v>99.762321262206854</c:v>
                </c:pt>
                <c:pt idx="185">
                  <c:v>101.83684835642332</c:v>
                </c:pt>
                <c:pt idx="186">
                  <c:v>103.0492783987734</c:v>
                </c:pt>
                <c:pt idx="187">
                  <c:v>101.7884858833561</c:v>
                </c:pt>
                <c:pt idx="188">
                  <c:v>104.68054891071921</c:v>
                </c:pt>
                <c:pt idx="189">
                  <c:v>107.11269540045043</c:v>
                </c:pt>
                <c:pt idx="190">
                  <c:v>104.6989104908541</c:v>
                </c:pt>
                <c:pt idx="191">
                  <c:v>107.09321647639059</c:v>
                </c:pt>
                <c:pt idx="192">
                  <c:v>107.85426013066595</c:v>
                </c:pt>
                <c:pt idx="193">
                  <c:v>111.56694204469696</c:v>
                </c:pt>
                <c:pt idx="194">
                  <c:v>110.13143441319514</c:v>
                </c:pt>
                <c:pt idx="195">
                  <c:v>112.17230354785917</c:v>
                </c:pt>
                <c:pt idx="196">
                  <c:v>116.40805323215682</c:v>
                </c:pt>
                <c:pt idx="197">
                  <c:v>115.77179594981155</c:v>
                </c:pt>
                <c:pt idx="198">
                  <c:v>120.08568043943519</c:v>
                </c:pt>
                <c:pt idx="199">
                  <c:v>118.40683684412153</c:v>
                </c:pt>
                <c:pt idx="200">
                  <c:v>123.04233891886147</c:v>
                </c:pt>
                <c:pt idx="201">
                  <c:v>135.71566732164445</c:v>
                </c:pt>
                <c:pt idx="202">
                  <c:v>144.54603526914374</c:v>
                </c:pt>
                <c:pt idx="203">
                  <c:v>144.15192447631054</c:v>
                </c:pt>
                <c:pt idx="204">
                  <c:v>143.97962263411642</c:v>
                </c:pt>
                <c:pt idx="205">
                  <c:v>149.51938827698723</c:v>
                </c:pt>
                <c:pt idx="206">
                  <c:v>148.20661297090629</c:v>
                </c:pt>
                <c:pt idx="207">
                  <c:v>144.49879684797833</c:v>
                </c:pt>
                <c:pt idx="208">
                  <c:v>146.4889861128417</c:v>
                </c:pt>
                <c:pt idx="209">
                  <c:v>155.17135139779455</c:v>
                </c:pt>
                <c:pt idx="210">
                  <c:v>155.21781938257939</c:v>
                </c:pt>
                <c:pt idx="211">
                  <c:v>165.81404032306273</c:v>
                </c:pt>
                <c:pt idx="212">
                  <c:v>187.73965766970707</c:v>
                </c:pt>
                <c:pt idx="213">
                  <c:v>193.93330591330133</c:v>
                </c:pt>
                <c:pt idx="214">
                  <c:v>196.48145396722362</c:v>
                </c:pt>
                <c:pt idx="215">
                  <c:v>215.77176583406242</c:v>
                </c:pt>
                <c:pt idx="216">
                  <c:v>231.28317434793033</c:v>
                </c:pt>
                <c:pt idx="217">
                  <c:v>271.37625374571951</c:v>
                </c:pt>
                <c:pt idx="218">
                  <c:v>271.529921878344</c:v>
                </c:pt>
                <c:pt idx="219">
                  <c:v>274.13433439491234</c:v>
                </c:pt>
                <c:pt idx="220">
                  <c:v>266.80375813048266</c:v>
                </c:pt>
                <c:pt idx="221">
                  <c:v>273.51214389193638</c:v>
                </c:pt>
                <c:pt idx="222">
                  <c:v>256.49047184558526</c:v>
                </c:pt>
                <c:pt idx="223">
                  <c:v>239.36331118484659</c:v>
                </c:pt>
                <c:pt idx="224">
                  <c:v>225.75923455883756</c:v>
                </c:pt>
                <c:pt idx="225">
                  <c:v>190.40445828683585</c:v>
                </c:pt>
                <c:pt idx="226">
                  <c:v>178.16561426292276</c:v>
                </c:pt>
                <c:pt idx="227">
                  <c:v>174.26049729701117</c:v>
                </c:pt>
                <c:pt idx="228">
                  <c:v>184.53411367510989</c:v>
                </c:pt>
                <c:pt idx="229">
                  <c:v>177.29940536445457</c:v>
                </c:pt>
                <c:pt idx="230">
                  <c:v>177.72569685152945</c:v>
                </c:pt>
                <c:pt idx="231">
                  <c:v>178.93159413944949</c:v>
                </c:pt>
                <c:pt idx="232">
                  <c:v>185.46327203182551</c:v>
                </c:pt>
                <c:pt idx="233">
                  <c:v>185.32569987441585</c:v>
                </c:pt>
                <c:pt idx="234">
                  <c:v>167.04864043735782</c:v>
                </c:pt>
                <c:pt idx="235">
                  <c:v>162.01135523148679</c:v>
                </c:pt>
                <c:pt idx="236">
                  <c:v>157.69735415756284</c:v>
                </c:pt>
                <c:pt idx="237">
                  <c:v>166.09979495702345</c:v>
                </c:pt>
                <c:pt idx="238">
                  <c:v>170.90070537926997</c:v>
                </c:pt>
                <c:pt idx="239">
                  <c:v>171.04098720678661</c:v>
                </c:pt>
                <c:pt idx="240">
                  <c:v>170.24224230773203</c:v>
                </c:pt>
                <c:pt idx="241">
                  <c:v>164.17350067296411</c:v>
                </c:pt>
                <c:pt idx="242">
                  <c:v>157.7263959586829</c:v>
                </c:pt>
                <c:pt idx="243">
                  <c:v>154.80266461473462</c:v>
                </c:pt>
                <c:pt idx="244">
                  <c:v>155.08503764351278</c:v>
                </c:pt>
                <c:pt idx="245">
                  <c:v>151.18072511367782</c:v>
                </c:pt>
                <c:pt idx="246">
                  <c:v>163.30580215652401</c:v>
                </c:pt>
                <c:pt idx="247">
                  <c:v>185.22527796669166</c:v>
                </c:pt>
                <c:pt idx="248">
                  <c:v>208.30938262437695</c:v>
                </c:pt>
                <c:pt idx="249">
                  <c:v>219.93047524055467</c:v>
                </c:pt>
                <c:pt idx="250">
                  <c:v>223.3315391477324</c:v>
                </c:pt>
                <c:pt idx="251">
                  <c:v>237.7788059910724</c:v>
                </c:pt>
                <c:pt idx="252">
                  <c:v>244.81039004220668</c:v>
                </c:pt>
                <c:pt idx="253">
                  <c:v>258.60000348311485</c:v>
                </c:pt>
                <c:pt idx="254">
                  <c:v>251.22258443274924</c:v>
                </c:pt>
                <c:pt idx="255">
                  <c:v>265.38086187245403</c:v>
                </c:pt>
                <c:pt idx="256">
                  <c:v>261.25405096199762</c:v>
                </c:pt>
                <c:pt idx="257">
                  <c:v>259.04848689614948</c:v>
                </c:pt>
                <c:pt idx="258">
                  <c:v>247.16303095388807</c:v>
                </c:pt>
                <c:pt idx="259">
                  <c:v>252.38250300440481</c:v>
                </c:pt>
                <c:pt idx="260">
                  <c:v>244.32517534847659</c:v>
                </c:pt>
                <c:pt idx="261">
                  <c:v>231.31334053595211</c:v>
                </c:pt>
                <c:pt idx="262">
                  <c:v>228.84110170504474</c:v>
                </c:pt>
                <c:pt idx="263">
                  <c:v>217.63881312464576</c:v>
                </c:pt>
                <c:pt idx="264">
                  <c:v>222.71152295641969</c:v>
                </c:pt>
                <c:pt idx="265">
                  <c:v>226.30042988939749</c:v>
                </c:pt>
                <c:pt idx="266">
                  <c:v>227.76432730525752</c:v>
                </c:pt>
                <c:pt idx="267">
                  <c:v>223.29749534672345</c:v>
                </c:pt>
                <c:pt idx="268">
                  <c:v>221.26176737451044</c:v>
                </c:pt>
                <c:pt idx="269">
                  <c:v>222.05717887870532</c:v>
                </c:pt>
                <c:pt idx="270">
                  <c:v>259.96254172715237</c:v>
                </c:pt>
                <c:pt idx="271">
                  <c:v>260.30423296471383</c:v>
                </c:pt>
              </c:numCache>
            </c:numRef>
          </c:yVal>
          <c:smooth val="0"/>
        </c:ser>
        <c:ser>
          <c:idx val="3"/>
          <c:order val="2"/>
          <c:tx>
            <c:strRef>
              <c:f>'World Food Prices'!$E$3</c:f>
              <c:strCache>
                <c:ptCount val="1"/>
                <c:pt idx="0">
                  <c:v>Oils</c:v>
                </c:pt>
              </c:strCache>
            </c:strRef>
          </c:tx>
          <c:spPr>
            <a:ln w="19050">
              <a:solidFill>
                <a:sysClr val="windowText" lastClr="000000"/>
              </a:solidFill>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Prices'!$E$6:$E$277</c:f>
              <c:numCache>
                <c:formatCode>0.0</c:formatCode>
                <c:ptCount val="272"/>
                <c:pt idx="0">
                  <c:v>72.517413139261691</c:v>
                </c:pt>
                <c:pt idx="1">
                  <c:v>72.526779209670053</c:v>
                </c:pt>
                <c:pt idx="2">
                  <c:v>74.268588769960544</c:v>
                </c:pt>
                <c:pt idx="3">
                  <c:v>71.763905488830702</c:v>
                </c:pt>
                <c:pt idx="4">
                  <c:v>73.970942725656784</c:v>
                </c:pt>
                <c:pt idx="5">
                  <c:v>71.317771692642381</c:v>
                </c:pt>
                <c:pt idx="6">
                  <c:v>71.175199396649731</c:v>
                </c:pt>
                <c:pt idx="7">
                  <c:v>73.72388224269865</c:v>
                </c:pt>
                <c:pt idx="8">
                  <c:v>72.916946266506656</c:v>
                </c:pt>
                <c:pt idx="9">
                  <c:v>74.518634362975206</c:v>
                </c:pt>
                <c:pt idx="10">
                  <c:v>78.255713162690355</c:v>
                </c:pt>
                <c:pt idx="11">
                  <c:v>80.46809461177665</c:v>
                </c:pt>
                <c:pt idx="12">
                  <c:v>79.83485003766711</c:v>
                </c:pt>
                <c:pt idx="13">
                  <c:v>77.92455662914432</c:v>
                </c:pt>
                <c:pt idx="14">
                  <c:v>78.326979507595524</c:v>
                </c:pt>
                <c:pt idx="15">
                  <c:v>76.126941939619826</c:v>
                </c:pt>
                <c:pt idx="16">
                  <c:v>75.12093531311443</c:v>
                </c:pt>
                <c:pt idx="17">
                  <c:v>75.44799715205329</c:v>
                </c:pt>
                <c:pt idx="18">
                  <c:v>77.554968155379456</c:v>
                </c:pt>
                <c:pt idx="19">
                  <c:v>79.29136449622689</c:v>
                </c:pt>
                <c:pt idx="20">
                  <c:v>79.052592975078468</c:v>
                </c:pt>
                <c:pt idx="21">
                  <c:v>83.17806842109799</c:v>
                </c:pt>
                <c:pt idx="22">
                  <c:v>83.629141698269763</c:v>
                </c:pt>
                <c:pt idx="23">
                  <c:v>84.258889137603546</c:v>
                </c:pt>
                <c:pt idx="24">
                  <c:v>84.847847529715963</c:v>
                </c:pt>
                <c:pt idx="25">
                  <c:v>82.928828271955865</c:v>
                </c:pt>
                <c:pt idx="26">
                  <c:v>85.887686445692935</c:v>
                </c:pt>
                <c:pt idx="27">
                  <c:v>85.521168670063645</c:v>
                </c:pt>
                <c:pt idx="28">
                  <c:v>86.047362908054097</c:v>
                </c:pt>
                <c:pt idx="29">
                  <c:v>87.267290831925166</c:v>
                </c:pt>
                <c:pt idx="30">
                  <c:v>82.709543329859613</c:v>
                </c:pt>
                <c:pt idx="31">
                  <c:v>80.835629560930073</c:v>
                </c:pt>
                <c:pt idx="32">
                  <c:v>82.844534039744318</c:v>
                </c:pt>
                <c:pt idx="33">
                  <c:v>82.933129516216169</c:v>
                </c:pt>
                <c:pt idx="34">
                  <c:v>85.477543634127457</c:v>
                </c:pt>
                <c:pt idx="35">
                  <c:v>83.997089999950276</c:v>
                </c:pt>
                <c:pt idx="36">
                  <c:v>85.244295516818227</c:v>
                </c:pt>
                <c:pt idx="37">
                  <c:v>84.99244670772994</c:v>
                </c:pt>
                <c:pt idx="38">
                  <c:v>83.629566114689993</c:v>
                </c:pt>
                <c:pt idx="39">
                  <c:v>83.249801090551003</c:v>
                </c:pt>
                <c:pt idx="40">
                  <c:v>82.416621002550343</c:v>
                </c:pt>
                <c:pt idx="41">
                  <c:v>81.822829887559564</c:v>
                </c:pt>
                <c:pt idx="42">
                  <c:v>85.723319198050064</c:v>
                </c:pt>
                <c:pt idx="43">
                  <c:v>84.501095054204285</c:v>
                </c:pt>
                <c:pt idx="44">
                  <c:v>84.163833288065732</c:v>
                </c:pt>
                <c:pt idx="45">
                  <c:v>83.545617472611141</c:v>
                </c:pt>
                <c:pt idx="46">
                  <c:v>90.225576911360434</c:v>
                </c:pt>
                <c:pt idx="47">
                  <c:v>101.92148287694505</c:v>
                </c:pt>
                <c:pt idx="48">
                  <c:v>102.76937425652464</c:v>
                </c:pt>
                <c:pt idx="49">
                  <c:v>97.630097581298998</c:v>
                </c:pt>
                <c:pt idx="50">
                  <c:v>98.802889469949704</c:v>
                </c:pt>
                <c:pt idx="51">
                  <c:v>101.70194448473575</c:v>
                </c:pt>
                <c:pt idx="52">
                  <c:v>107.17259591587369</c:v>
                </c:pt>
                <c:pt idx="53">
                  <c:v>107.8484642767727</c:v>
                </c:pt>
                <c:pt idx="54">
                  <c:v>105.7809083028785</c:v>
                </c:pt>
                <c:pt idx="55">
                  <c:v>114.60625173242143</c:v>
                </c:pt>
                <c:pt idx="56">
                  <c:v>125.83982347749405</c:v>
                </c:pt>
                <c:pt idx="57">
                  <c:v>123.4432752477628</c:v>
                </c:pt>
                <c:pt idx="58">
                  <c:v>137.5155051200625</c:v>
                </c:pt>
                <c:pt idx="59">
                  <c:v>138.15356732494854</c:v>
                </c:pt>
                <c:pt idx="60">
                  <c:v>129.81908179415666</c:v>
                </c:pt>
                <c:pt idx="61">
                  <c:v>128.85578020781043</c:v>
                </c:pt>
                <c:pt idx="62">
                  <c:v>130.83863036735551</c:v>
                </c:pt>
                <c:pt idx="63">
                  <c:v>121.52061791810836</c:v>
                </c:pt>
                <c:pt idx="64">
                  <c:v>119.46208605201699</c:v>
                </c:pt>
                <c:pt idx="65">
                  <c:v>124.83816778898706</c:v>
                </c:pt>
                <c:pt idx="66">
                  <c:v>129.90066843513256</c:v>
                </c:pt>
                <c:pt idx="67">
                  <c:v>124.89793221867905</c:v>
                </c:pt>
                <c:pt idx="68">
                  <c:v>120.31917036586994</c:v>
                </c:pt>
                <c:pt idx="69">
                  <c:v>125.75283636872989</c:v>
                </c:pt>
                <c:pt idx="70">
                  <c:v>124.53471284096614</c:v>
                </c:pt>
                <c:pt idx="71">
                  <c:v>119.1558455507738</c:v>
                </c:pt>
                <c:pt idx="72">
                  <c:v>112.30929499987778</c:v>
                </c:pt>
                <c:pt idx="73">
                  <c:v>108.81583689352459</c:v>
                </c:pt>
                <c:pt idx="74">
                  <c:v>107.74067027699684</c:v>
                </c:pt>
                <c:pt idx="75">
                  <c:v>116.16873503441253</c:v>
                </c:pt>
                <c:pt idx="76">
                  <c:v>116.58954253419667</c:v>
                </c:pt>
                <c:pt idx="77">
                  <c:v>110.20673863880552</c:v>
                </c:pt>
                <c:pt idx="78">
                  <c:v>106.52674917093701</c:v>
                </c:pt>
                <c:pt idx="79">
                  <c:v>110.77045387105701</c:v>
                </c:pt>
                <c:pt idx="80">
                  <c:v>114.12477472618218</c:v>
                </c:pt>
                <c:pt idx="81">
                  <c:v>109.64692737466318</c:v>
                </c:pt>
                <c:pt idx="82">
                  <c:v>110.63986586414845</c:v>
                </c:pt>
                <c:pt idx="83">
                  <c:v>111.02849793212374</c:v>
                </c:pt>
                <c:pt idx="84">
                  <c:v>112.49027559176024</c:v>
                </c:pt>
                <c:pt idx="85">
                  <c:v>113.33451335358222</c:v>
                </c:pt>
                <c:pt idx="86">
                  <c:v>111.41543463751091</c:v>
                </c:pt>
                <c:pt idx="87">
                  <c:v>111.93488833914438</c:v>
                </c:pt>
                <c:pt idx="88">
                  <c:v>112.63633097550039</c:v>
                </c:pt>
                <c:pt idx="89">
                  <c:v>109.63473727313398</c:v>
                </c:pt>
                <c:pt idx="90">
                  <c:v>104.84784904541122</c:v>
                </c:pt>
                <c:pt idx="91">
                  <c:v>104.67101953860659</c:v>
                </c:pt>
                <c:pt idx="92">
                  <c:v>108.66684291474739</c:v>
                </c:pt>
                <c:pt idx="93">
                  <c:v>116.88296569865557</c:v>
                </c:pt>
                <c:pt idx="94">
                  <c:v>123.26033342873328</c:v>
                </c:pt>
                <c:pt idx="95">
                  <c:v>120.39873783943868</c:v>
                </c:pt>
                <c:pt idx="96">
                  <c:v>124.59143247503803</c:v>
                </c:pt>
                <c:pt idx="97">
                  <c:v>127.30448409773632</c:v>
                </c:pt>
                <c:pt idx="98">
                  <c:v>130.98447685470168</c:v>
                </c:pt>
                <c:pt idx="99">
                  <c:v>132.98249046226582</c:v>
                </c:pt>
                <c:pt idx="100">
                  <c:v>139.27977471400436</c:v>
                </c:pt>
                <c:pt idx="101">
                  <c:v>129.18324799398607</c:v>
                </c:pt>
                <c:pt idx="102">
                  <c:v>129.3302684718287</c:v>
                </c:pt>
                <c:pt idx="103">
                  <c:v>128.20709624311212</c:v>
                </c:pt>
                <c:pt idx="104">
                  <c:v>130.09711435742148</c:v>
                </c:pt>
                <c:pt idx="105">
                  <c:v>130.06698322458291</c:v>
                </c:pt>
                <c:pt idx="106">
                  <c:v>130.17942175910798</c:v>
                </c:pt>
                <c:pt idx="107">
                  <c:v>126.6873707919479</c:v>
                </c:pt>
                <c:pt idx="108">
                  <c:v>119.34164732070549</c:v>
                </c:pt>
                <c:pt idx="109">
                  <c:v>105.85264945502497</c:v>
                </c:pt>
                <c:pt idx="110">
                  <c:v>96.519528717597652</c:v>
                </c:pt>
                <c:pt idx="111">
                  <c:v>100.54486410675885</c:v>
                </c:pt>
                <c:pt idx="112">
                  <c:v>96.785896746734238</c:v>
                </c:pt>
                <c:pt idx="113">
                  <c:v>86.617665065244481</c:v>
                </c:pt>
                <c:pt idx="114">
                  <c:v>77.933380160963864</c:v>
                </c:pt>
                <c:pt idx="115">
                  <c:v>83.478128112109005</c:v>
                </c:pt>
                <c:pt idx="116">
                  <c:v>85.987823531034422</c:v>
                </c:pt>
                <c:pt idx="117">
                  <c:v>84.455423381419578</c:v>
                </c:pt>
                <c:pt idx="118">
                  <c:v>81.923500102154847</c:v>
                </c:pt>
                <c:pt idx="119">
                  <c:v>79.395080413423969</c:v>
                </c:pt>
                <c:pt idx="120">
                  <c:v>77.465845201764864</c:v>
                </c:pt>
                <c:pt idx="121">
                  <c:v>73.741092109626337</c:v>
                </c:pt>
                <c:pt idx="122">
                  <c:v>75.245394894046257</c:v>
                </c:pt>
                <c:pt idx="123">
                  <c:v>77.271926263227471</c:v>
                </c:pt>
                <c:pt idx="124">
                  <c:v>70.03406743806471</c:v>
                </c:pt>
                <c:pt idx="125">
                  <c:v>67.407835734878034</c:v>
                </c:pt>
                <c:pt idx="126">
                  <c:v>66.99292982628188</c:v>
                </c:pt>
                <c:pt idx="127">
                  <c:v>65.342014519894661</c:v>
                </c:pt>
                <c:pt idx="128">
                  <c:v>60.669146439363011</c:v>
                </c:pt>
                <c:pt idx="129">
                  <c:v>58.342981938974503</c:v>
                </c:pt>
                <c:pt idx="130">
                  <c:v>60.269693163702364</c:v>
                </c:pt>
                <c:pt idx="131">
                  <c:v>61.040444382839574</c:v>
                </c:pt>
                <c:pt idx="132">
                  <c:v>59.942532082729002</c:v>
                </c:pt>
                <c:pt idx="133">
                  <c:v>57.784509684848793</c:v>
                </c:pt>
                <c:pt idx="134">
                  <c:v>60.834806641456254</c:v>
                </c:pt>
                <c:pt idx="135">
                  <c:v>60.4496316355254</c:v>
                </c:pt>
                <c:pt idx="136">
                  <c:v>58.160614429413393</c:v>
                </c:pt>
                <c:pt idx="137">
                  <c:v>61.844862072909976</c:v>
                </c:pt>
                <c:pt idx="138">
                  <c:v>75.369840468544353</c:v>
                </c:pt>
                <c:pt idx="139">
                  <c:v>79.633879945048577</c:v>
                </c:pt>
                <c:pt idx="140">
                  <c:v>72.929758947259202</c:v>
                </c:pt>
                <c:pt idx="141">
                  <c:v>69.371797100463894</c:v>
                </c:pt>
                <c:pt idx="142">
                  <c:v>75.746520370796077</c:v>
                </c:pt>
                <c:pt idx="143">
                  <c:v>79.209668636337355</c:v>
                </c:pt>
                <c:pt idx="144">
                  <c:v>77.224135101435607</c:v>
                </c:pt>
                <c:pt idx="145">
                  <c:v>74.801394689329172</c:v>
                </c:pt>
                <c:pt idx="146">
                  <c:v>74.462641711982315</c:v>
                </c:pt>
                <c:pt idx="147">
                  <c:v>76.948259236682176</c:v>
                </c:pt>
                <c:pt idx="148">
                  <c:v>80.864636449670826</c:v>
                </c:pt>
                <c:pt idx="149">
                  <c:v>87.84620625232786</c:v>
                </c:pt>
                <c:pt idx="150">
                  <c:v>88.774300439720804</c:v>
                </c:pt>
                <c:pt idx="151">
                  <c:v>93.931160586026166</c:v>
                </c:pt>
                <c:pt idx="152">
                  <c:v>90.023767976284518</c:v>
                </c:pt>
                <c:pt idx="153">
                  <c:v>93.36709186665577</c:v>
                </c:pt>
                <c:pt idx="154">
                  <c:v>101.52038267365661</c:v>
                </c:pt>
                <c:pt idx="155">
                  <c:v>104.43271614317769</c:v>
                </c:pt>
                <c:pt idx="156">
                  <c:v>102.01839327387117</c:v>
                </c:pt>
                <c:pt idx="157">
                  <c:v>99.024681023750603</c:v>
                </c:pt>
                <c:pt idx="158">
                  <c:v>95.029340692251878</c:v>
                </c:pt>
                <c:pt idx="159">
                  <c:v>95.550158699875155</c:v>
                </c:pt>
                <c:pt idx="160">
                  <c:v>97.836147909763298</c:v>
                </c:pt>
                <c:pt idx="161">
                  <c:v>99.640906694327782</c:v>
                </c:pt>
                <c:pt idx="162">
                  <c:v>95.2434661227406</c:v>
                </c:pt>
                <c:pt idx="163">
                  <c:v>92.68283015883361</c:v>
                </c:pt>
                <c:pt idx="164">
                  <c:v>96.937570228412625</c:v>
                </c:pt>
                <c:pt idx="165">
                  <c:v>109.20253391617922</c:v>
                </c:pt>
                <c:pt idx="166">
                  <c:v>111.40450140718174</c:v>
                </c:pt>
                <c:pt idx="167">
                  <c:v>115.16787353505443</c:v>
                </c:pt>
                <c:pt idx="168">
                  <c:v>115.39109879037181</c:v>
                </c:pt>
                <c:pt idx="169">
                  <c:v>121.43893466758237</c:v>
                </c:pt>
                <c:pt idx="170">
                  <c:v>122.79888723522031</c:v>
                </c:pt>
                <c:pt idx="171">
                  <c:v>123.2266401838296</c:v>
                </c:pt>
                <c:pt idx="172">
                  <c:v>117.81194844365143</c:v>
                </c:pt>
                <c:pt idx="173">
                  <c:v>106.90680450371872</c:v>
                </c:pt>
                <c:pt idx="174">
                  <c:v>105.83351382072843</c:v>
                </c:pt>
                <c:pt idx="175">
                  <c:v>106.68034963671573</c:v>
                </c:pt>
                <c:pt idx="176">
                  <c:v>107.31419011666321</c:v>
                </c:pt>
                <c:pt idx="177">
                  <c:v>105.73926521559369</c:v>
                </c:pt>
                <c:pt idx="178">
                  <c:v>107.23135507098331</c:v>
                </c:pt>
                <c:pt idx="179">
                  <c:v>105.69191552574968</c:v>
                </c:pt>
                <c:pt idx="180">
                  <c:v>101.54857016484509</c:v>
                </c:pt>
                <c:pt idx="181">
                  <c:v>99.827890879781535</c:v>
                </c:pt>
                <c:pt idx="182">
                  <c:v>107.46852965156621</c:v>
                </c:pt>
                <c:pt idx="183">
                  <c:v>105.36772795404417</c:v>
                </c:pt>
                <c:pt idx="184">
                  <c:v>103.77541322390236</c:v>
                </c:pt>
                <c:pt idx="185">
                  <c:v>104.57211833228651</c:v>
                </c:pt>
                <c:pt idx="186">
                  <c:v>103.79663765544389</c:v>
                </c:pt>
                <c:pt idx="187">
                  <c:v>100.69669537541606</c:v>
                </c:pt>
                <c:pt idx="188">
                  <c:v>102.60682328544064</c:v>
                </c:pt>
                <c:pt idx="189">
                  <c:v>107.27393680770234</c:v>
                </c:pt>
                <c:pt idx="190">
                  <c:v>105.02031821642291</c:v>
                </c:pt>
                <c:pt idx="191">
                  <c:v>101.77091424759068</c:v>
                </c:pt>
                <c:pt idx="192">
                  <c:v>102.18738567798773</c:v>
                </c:pt>
                <c:pt idx="193">
                  <c:v>103.83798542006231</c:v>
                </c:pt>
                <c:pt idx="194">
                  <c:v>104.00098224718239</c:v>
                </c:pt>
                <c:pt idx="195">
                  <c:v>105.76875412000474</c:v>
                </c:pt>
                <c:pt idx="196">
                  <c:v>108.73617231916202</c:v>
                </c:pt>
                <c:pt idx="197">
                  <c:v>108.59135078247245</c:v>
                </c:pt>
                <c:pt idx="198">
                  <c:v>112.75297530166313</c:v>
                </c:pt>
                <c:pt idx="199">
                  <c:v>117.04298787034027</c:v>
                </c:pt>
                <c:pt idx="200">
                  <c:v>113.85815182642875</c:v>
                </c:pt>
                <c:pt idx="201">
                  <c:v>115.65778074310194</c:v>
                </c:pt>
                <c:pt idx="202">
                  <c:v>124.94864019797677</c:v>
                </c:pt>
                <c:pt idx="203">
                  <c:v>132.17198918898063</c:v>
                </c:pt>
                <c:pt idx="204">
                  <c:v>131.4096929769461</c:v>
                </c:pt>
                <c:pt idx="205">
                  <c:v>132.66620614918097</c:v>
                </c:pt>
                <c:pt idx="206">
                  <c:v>135.06530275523914</c:v>
                </c:pt>
                <c:pt idx="207">
                  <c:v>147.33463476458911</c:v>
                </c:pt>
                <c:pt idx="208">
                  <c:v>158.66061123279519</c:v>
                </c:pt>
                <c:pt idx="209">
                  <c:v>166.60542677166364</c:v>
                </c:pt>
                <c:pt idx="210">
                  <c:v>172.24771243101048</c:v>
                </c:pt>
                <c:pt idx="211">
                  <c:v>177.61671792662614</c:v>
                </c:pt>
                <c:pt idx="212">
                  <c:v>185.92606780472985</c:v>
                </c:pt>
                <c:pt idx="213">
                  <c:v>197.51952295926893</c:v>
                </c:pt>
                <c:pt idx="214">
                  <c:v>215.847191206069</c:v>
                </c:pt>
                <c:pt idx="215">
                  <c:v>219.59556923487119</c:v>
                </c:pt>
                <c:pt idx="216">
                  <c:v>243.28066104280629</c:v>
                </c:pt>
                <c:pt idx="217">
                  <c:v>266.99073579324295</c:v>
                </c:pt>
                <c:pt idx="218">
                  <c:v>279.35848540383438</c:v>
                </c:pt>
                <c:pt idx="219">
                  <c:v>269.46967685631864</c:v>
                </c:pt>
                <c:pt idx="220">
                  <c:v>273.49755695739918</c:v>
                </c:pt>
                <c:pt idx="221">
                  <c:v>284.8797544350644</c:v>
                </c:pt>
                <c:pt idx="222">
                  <c:v>267.12413542472842</c:v>
                </c:pt>
                <c:pt idx="223">
                  <c:v>223.71846459087769</c:v>
                </c:pt>
                <c:pt idx="224">
                  <c:v>201.71768173673604</c:v>
                </c:pt>
                <c:pt idx="225">
                  <c:v>154.23029355781833</c:v>
                </c:pt>
                <c:pt idx="226">
                  <c:v>134.57648587661723</c:v>
                </c:pt>
                <c:pt idx="227">
                  <c:v>127.33676315093447</c:v>
                </c:pt>
                <c:pt idx="228">
                  <c:v>134.39522962544004</c:v>
                </c:pt>
                <c:pt idx="229">
                  <c:v>131.76432476108982</c:v>
                </c:pt>
                <c:pt idx="230">
                  <c:v>129.46043343701695</c:v>
                </c:pt>
                <c:pt idx="231">
                  <c:v>147.80888267713351</c:v>
                </c:pt>
                <c:pt idx="232">
                  <c:v>167.76704947182728</c:v>
                </c:pt>
                <c:pt idx="233">
                  <c:v>160.56288336220126</c:v>
                </c:pt>
                <c:pt idx="234">
                  <c:v>144.65138678238557</c:v>
                </c:pt>
                <c:pt idx="235">
                  <c:v>157.31555954088296</c:v>
                </c:pt>
                <c:pt idx="236">
                  <c:v>150.59064787693274</c:v>
                </c:pt>
                <c:pt idx="237">
                  <c:v>152.87073582364314</c:v>
                </c:pt>
                <c:pt idx="238">
                  <c:v>162.90198754859421</c:v>
                </c:pt>
                <c:pt idx="239">
                  <c:v>170.58288277730233</c:v>
                </c:pt>
                <c:pt idx="240">
                  <c:v>169.97460210043764</c:v>
                </c:pt>
                <c:pt idx="241">
                  <c:v>170.20963536365383</c:v>
                </c:pt>
                <c:pt idx="242">
                  <c:v>175.79059437080383</c:v>
                </c:pt>
                <c:pt idx="243">
                  <c:v>174.4515669735689</c:v>
                </c:pt>
                <c:pt idx="244">
                  <c:v>171.26542003544955</c:v>
                </c:pt>
                <c:pt idx="245">
                  <c:v>169.33347041289997</c:v>
                </c:pt>
                <c:pt idx="246">
                  <c:v>175.78683308326285</c:v>
                </c:pt>
                <c:pt idx="247">
                  <c:v>193.77927680412142</c:v>
                </c:pt>
                <c:pt idx="248">
                  <c:v>198.99893078444723</c:v>
                </c:pt>
                <c:pt idx="249">
                  <c:v>221.54270312635171</c:v>
                </c:pt>
                <c:pt idx="250">
                  <c:v>244.79628773279575</c:v>
                </c:pt>
                <c:pt idx="251">
                  <c:v>264.4560587293584</c:v>
                </c:pt>
                <c:pt idx="252">
                  <c:v>279.44492244407184</c:v>
                </c:pt>
                <c:pt idx="253">
                  <c:v>281.09811095920446</c:v>
                </c:pt>
                <c:pt idx="254">
                  <c:v>261.66364737798017</c:v>
                </c:pt>
                <c:pt idx="255">
                  <c:v>260.92213497069798</c:v>
                </c:pt>
                <c:pt idx="256">
                  <c:v>260.89864546313851</c:v>
                </c:pt>
                <c:pt idx="257">
                  <c:v>258.97418683564746</c:v>
                </c:pt>
                <c:pt idx="258">
                  <c:v>252.89134056545265</c:v>
                </c:pt>
                <c:pt idx="259">
                  <c:v>245.26683288783912</c:v>
                </c:pt>
                <c:pt idx="260">
                  <c:v>239.37121793703139</c:v>
                </c:pt>
                <c:pt idx="261">
                  <c:v>224.31804545306849</c:v>
                </c:pt>
                <c:pt idx="262">
                  <c:v>234.84040797735264</c:v>
                </c:pt>
                <c:pt idx="263">
                  <c:v>227.47218237917872</c:v>
                </c:pt>
                <c:pt idx="264">
                  <c:v>233.74196397023076</c:v>
                </c:pt>
                <c:pt idx="265">
                  <c:v>238.73788979576904</c:v>
                </c:pt>
                <c:pt idx="266">
                  <c:v>244.93006775562597</c:v>
                </c:pt>
                <c:pt idx="267">
                  <c:v>250.95109136275337</c:v>
                </c:pt>
                <c:pt idx="268">
                  <c:v>233.84392205135507</c:v>
                </c:pt>
                <c:pt idx="269">
                  <c:v>220.71201243311057</c:v>
                </c:pt>
                <c:pt idx="270">
                  <c:v>226.08022604191817</c:v>
                </c:pt>
                <c:pt idx="271">
                  <c:v>225.96756327850537</c:v>
                </c:pt>
              </c:numCache>
            </c:numRef>
          </c:yVal>
          <c:smooth val="0"/>
        </c:ser>
        <c:ser>
          <c:idx val="1"/>
          <c:order val="3"/>
          <c:tx>
            <c:strRef>
              <c:f>'World Food Prices'!$C$3</c:f>
              <c:strCache>
                <c:ptCount val="1"/>
                <c:pt idx="0">
                  <c:v>Dairy</c:v>
                </c:pt>
              </c:strCache>
            </c:strRef>
          </c:tx>
          <c:spPr>
            <a:ln w="19050">
              <a:solidFill>
                <a:srgbClr val="1F497D">
                  <a:lumMod val="60000"/>
                  <a:lumOff val="40000"/>
                </a:srgbClr>
              </a:solidFill>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Prices'!$C$6:$C$277</c:f>
              <c:numCache>
                <c:formatCode>0.0</c:formatCode>
                <c:ptCount val="272"/>
                <c:pt idx="0">
                  <c:v>93.106381140215305</c:v>
                </c:pt>
                <c:pt idx="1">
                  <c:v>90.816541067250228</c:v>
                </c:pt>
                <c:pt idx="2">
                  <c:v>72.717152257210117</c:v>
                </c:pt>
                <c:pt idx="3">
                  <c:v>84.330583638198846</c:v>
                </c:pt>
                <c:pt idx="4">
                  <c:v>69.054076497100198</c:v>
                </c:pt>
                <c:pt idx="5">
                  <c:v>69.054076497100198</c:v>
                </c:pt>
                <c:pt idx="6">
                  <c:v>69.054076497100198</c:v>
                </c:pt>
                <c:pt idx="7">
                  <c:v>65.147888337373203</c:v>
                </c:pt>
                <c:pt idx="8">
                  <c:v>67.348858374319136</c:v>
                </c:pt>
                <c:pt idx="9">
                  <c:v>68.72062774824569</c:v>
                </c:pt>
                <c:pt idx="10">
                  <c:v>69.680751686561109</c:v>
                </c:pt>
                <c:pt idx="11">
                  <c:v>79.06036682737124</c:v>
                </c:pt>
                <c:pt idx="12">
                  <c:v>82.489217145021755</c:v>
                </c:pt>
                <c:pt idx="13">
                  <c:v>81.841195257035821</c:v>
                </c:pt>
                <c:pt idx="14">
                  <c:v>80.058926681829846</c:v>
                </c:pt>
                <c:pt idx="15">
                  <c:v>75.123624933075035</c:v>
                </c:pt>
                <c:pt idx="16">
                  <c:v>73.926298386939692</c:v>
                </c:pt>
                <c:pt idx="17">
                  <c:v>75.830353930771508</c:v>
                </c:pt>
                <c:pt idx="18">
                  <c:v>70.424841095443085</c:v>
                </c:pt>
                <c:pt idx="19">
                  <c:v>72.754512668395648</c:v>
                </c:pt>
                <c:pt idx="20">
                  <c:v>79.334103690931556</c:v>
                </c:pt>
                <c:pt idx="21">
                  <c:v>85.399137918953556</c:v>
                </c:pt>
                <c:pt idx="22">
                  <c:v>88.860834439836722</c:v>
                </c:pt>
                <c:pt idx="23">
                  <c:v>88.860834439836722</c:v>
                </c:pt>
                <c:pt idx="24">
                  <c:v>92.028645071264066</c:v>
                </c:pt>
                <c:pt idx="25">
                  <c:v>92.028645071264066</c:v>
                </c:pt>
                <c:pt idx="26">
                  <c:v>91.253976679965206</c:v>
                </c:pt>
                <c:pt idx="27">
                  <c:v>91.253976679965206</c:v>
                </c:pt>
                <c:pt idx="28">
                  <c:v>94.874679121911669</c:v>
                </c:pt>
                <c:pt idx="29">
                  <c:v>99.994776968833619</c:v>
                </c:pt>
                <c:pt idx="30">
                  <c:v>100.8859112564366</c:v>
                </c:pt>
                <c:pt idx="31">
                  <c:v>98.761991671915567</c:v>
                </c:pt>
                <c:pt idx="32">
                  <c:v>101.57337383614937</c:v>
                </c:pt>
                <c:pt idx="33">
                  <c:v>95.880473622637624</c:v>
                </c:pt>
                <c:pt idx="34">
                  <c:v>93.609022373913305</c:v>
                </c:pt>
                <c:pt idx="35">
                  <c:v>92.685041883077673</c:v>
                </c:pt>
                <c:pt idx="36">
                  <c:v>92.519537450741851</c:v>
                </c:pt>
                <c:pt idx="37">
                  <c:v>93.733447137936849</c:v>
                </c:pt>
                <c:pt idx="38">
                  <c:v>92.545410981143547</c:v>
                </c:pt>
                <c:pt idx="39">
                  <c:v>91.049300196491373</c:v>
                </c:pt>
                <c:pt idx="40">
                  <c:v>89.816316799838049</c:v>
                </c:pt>
                <c:pt idx="41">
                  <c:v>89.856148299825534</c:v>
                </c:pt>
                <c:pt idx="42">
                  <c:v>86.413773930711358</c:v>
                </c:pt>
                <c:pt idx="43">
                  <c:v>83.329310635627635</c:v>
                </c:pt>
                <c:pt idx="44">
                  <c:v>78.570513414510117</c:v>
                </c:pt>
                <c:pt idx="45">
                  <c:v>71.656409428655351</c:v>
                </c:pt>
                <c:pt idx="46">
                  <c:v>72.101976572456849</c:v>
                </c:pt>
                <c:pt idx="47">
                  <c:v>73.131090161484707</c:v>
                </c:pt>
                <c:pt idx="48">
                  <c:v>79.390358292535353</c:v>
                </c:pt>
                <c:pt idx="49">
                  <c:v>79.297960243451797</c:v>
                </c:pt>
                <c:pt idx="50">
                  <c:v>80.16937418519133</c:v>
                </c:pt>
                <c:pt idx="51">
                  <c:v>73.40375152008734</c:v>
                </c:pt>
                <c:pt idx="52">
                  <c:v>73.40375152008734</c:v>
                </c:pt>
                <c:pt idx="53">
                  <c:v>78.012164852849395</c:v>
                </c:pt>
                <c:pt idx="54">
                  <c:v>78.748476965163889</c:v>
                </c:pt>
                <c:pt idx="55">
                  <c:v>80.408769568314</c:v>
                </c:pt>
                <c:pt idx="56">
                  <c:v>86.612202870008176</c:v>
                </c:pt>
                <c:pt idx="57">
                  <c:v>90.347565525077613</c:v>
                </c:pt>
                <c:pt idx="58">
                  <c:v>92.195526506748919</c:v>
                </c:pt>
                <c:pt idx="59">
                  <c:v>95.485322018016888</c:v>
                </c:pt>
                <c:pt idx="60">
                  <c:v>102.98293498381557</c:v>
                </c:pt>
                <c:pt idx="61">
                  <c:v>106.24998596751398</c:v>
                </c:pt>
                <c:pt idx="62">
                  <c:v>107.24802431399105</c:v>
                </c:pt>
                <c:pt idx="63">
                  <c:v>106.27642746455106</c:v>
                </c:pt>
                <c:pt idx="64">
                  <c:v>106.54842909339884</c:v>
                </c:pt>
                <c:pt idx="65">
                  <c:v>106.54842909339884</c:v>
                </c:pt>
                <c:pt idx="66">
                  <c:v>112.73275764928452</c:v>
                </c:pt>
                <c:pt idx="67">
                  <c:v>112.7205495438982</c:v>
                </c:pt>
                <c:pt idx="68">
                  <c:v>112.79132738181663</c:v>
                </c:pt>
                <c:pt idx="69">
                  <c:v>113.88459729564644</c:v>
                </c:pt>
                <c:pt idx="70">
                  <c:v>113.88459729564644</c:v>
                </c:pt>
                <c:pt idx="71">
                  <c:v>113.39341867807072</c:v>
                </c:pt>
                <c:pt idx="72">
                  <c:v>113.26833874193136</c:v>
                </c:pt>
                <c:pt idx="73">
                  <c:v>113.02598629637221</c:v>
                </c:pt>
                <c:pt idx="74">
                  <c:v>111.48572548952068</c:v>
                </c:pt>
                <c:pt idx="75">
                  <c:v>111.27144729692404</c:v>
                </c:pt>
                <c:pt idx="76">
                  <c:v>108.539133226799</c:v>
                </c:pt>
                <c:pt idx="77">
                  <c:v>108.78305200823655</c:v>
                </c:pt>
                <c:pt idx="78">
                  <c:v>109.03533797221266</c:v>
                </c:pt>
                <c:pt idx="79">
                  <c:v>108.23497903628048</c:v>
                </c:pt>
                <c:pt idx="80">
                  <c:v>107.60003805611569</c:v>
                </c:pt>
                <c:pt idx="81">
                  <c:v>108.539133226799</c:v>
                </c:pt>
                <c:pt idx="82">
                  <c:v>106.32692569277707</c:v>
                </c:pt>
                <c:pt idx="83">
                  <c:v>106.59122142481429</c:v>
                </c:pt>
                <c:pt idx="84">
                  <c:v>106.80040098827821</c:v>
                </c:pt>
                <c:pt idx="85">
                  <c:v>105.717740481337</c:v>
                </c:pt>
                <c:pt idx="86">
                  <c:v>105.34857452551381</c:v>
                </c:pt>
                <c:pt idx="87">
                  <c:v>103.90772970894729</c:v>
                </c:pt>
                <c:pt idx="88">
                  <c:v>104.25547406757059</c:v>
                </c:pt>
                <c:pt idx="89">
                  <c:v>103.58815153236594</c:v>
                </c:pt>
                <c:pt idx="90">
                  <c:v>102.64994521137167</c:v>
                </c:pt>
                <c:pt idx="91">
                  <c:v>102.41573410449061</c:v>
                </c:pt>
                <c:pt idx="92">
                  <c:v>104.35874196436387</c:v>
                </c:pt>
                <c:pt idx="93">
                  <c:v>107.14941459879319</c:v>
                </c:pt>
                <c:pt idx="94">
                  <c:v>107.6034250911771</c:v>
                </c:pt>
                <c:pt idx="95">
                  <c:v>107.72584055563709</c:v>
                </c:pt>
                <c:pt idx="96">
                  <c:v>107.5741332834539</c:v>
                </c:pt>
                <c:pt idx="97">
                  <c:v>105.58857710685376</c:v>
                </c:pt>
                <c:pt idx="98">
                  <c:v>102.55422140475987</c:v>
                </c:pt>
                <c:pt idx="99">
                  <c:v>102.19790374283713</c:v>
                </c:pt>
                <c:pt idx="100">
                  <c:v>100.24221330458785</c:v>
                </c:pt>
                <c:pt idx="101">
                  <c:v>98.665235384713682</c:v>
                </c:pt>
                <c:pt idx="102">
                  <c:v>98.549179477986613</c:v>
                </c:pt>
                <c:pt idx="103">
                  <c:v>98.718712432897831</c:v>
                </c:pt>
                <c:pt idx="104">
                  <c:v>95.890400278443749</c:v>
                </c:pt>
                <c:pt idx="105">
                  <c:v>92.941814598069428</c:v>
                </c:pt>
                <c:pt idx="106">
                  <c:v>92.941814598069428</c:v>
                </c:pt>
                <c:pt idx="107">
                  <c:v>93.075696187524542</c:v>
                </c:pt>
                <c:pt idx="108">
                  <c:v>93.040044822068452</c:v>
                </c:pt>
                <c:pt idx="109">
                  <c:v>91.809672286040694</c:v>
                </c:pt>
                <c:pt idx="110">
                  <c:v>90.748832704924126</c:v>
                </c:pt>
                <c:pt idx="111">
                  <c:v>85.794149296054101</c:v>
                </c:pt>
                <c:pt idx="112">
                  <c:v>84.885016987120721</c:v>
                </c:pt>
                <c:pt idx="113">
                  <c:v>84.563776760026343</c:v>
                </c:pt>
                <c:pt idx="114">
                  <c:v>83.138506112335335</c:v>
                </c:pt>
                <c:pt idx="115">
                  <c:v>83.12068042960729</c:v>
                </c:pt>
                <c:pt idx="116">
                  <c:v>83.842520358787823</c:v>
                </c:pt>
                <c:pt idx="117">
                  <c:v>83.994227630970997</c:v>
                </c:pt>
                <c:pt idx="118">
                  <c:v>84.717779423015998</c:v>
                </c:pt>
                <c:pt idx="119">
                  <c:v>86.270750081211375</c:v>
                </c:pt>
                <c:pt idx="120">
                  <c:v>88.80741738148393</c:v>
                </c:pt>
                <c:pt idx="121">
                  <c:v>89.228474109034309</c:v>
                </c:pt>
                <c:pt idx="122">
                  <c:v>88.550342289389448</c:v>
                </c:pt>
                <c:pt idx="123">
                  <c:v>88.9508757335892</c:v>
                </c:pt>
                <c:pt idx="124">
                  <c:v>89.738400816340175</c:v>
                </c:pt>
                <c:pt idx="125">
                  <c:v>93.890318218511226</c:v>
                </c:pt>
                <c:pt idx="126">
                  <c:v>97.213279216947186</c:v>
                </c:pt>
                <c:pt idx="127">
                  <c:v>97.855759671135942</c:v>
                </c:pt>
                <c:pt idx="128">
                  <c:v>100.16412408274256</c:v>
                </c:pt>
                <c:pt idx="129">
                  <c:v>102.859413875014</c:v>
                </c:pt>
                <c:pt idx="130">
                  <c:v>103.63007715222304</c:v>
                </c:pt>
                <c:pt idx="131">
                  <c:v>104.40074042943208</c:v>
                </c:pt>
                <c:pt idx="132">
                  <c:v>103.85249495614576</c:v>
                </c:pt>
                <c:pt idx="133">
                  <c:v>103.54908041177944</c:v>
                </c:pt>
                <c:pt idx="134">
                  <c:v>104.70536491340377</c:v>
                </c:pt>
                <c:pt idx="135">
                  <c:v>104.89218967162732</c:v>
                </c:pt>
                <c:pt idx="136">
                  <c:v>109.23117267241589</c:v>
                </c:pt>
                <c:pt idx="137">
                  <c:v>109.83407723036625</c:v>
                </c:pt>
                <c:pt idx="138">
                  <c:v>110.56018364754595</c:v>
                </c:pt>
                <c:pt idx="139">
                  <c:v>109.5716256057344</c:v>
                </c:pt>
                <c:pt idx="140">
                  <c:v>108.97765567954676</c:v>
                </c:pt>
                <c:pt idx="141">
                  <c:v>110.72880801767289</c:v>
                </c:pt>
                <c:pt idx="142">
                  <c:v>107.33998914109013</c:v>
                </c:pt>
                <c:pt idx="143">
                  <c:v>101.46488439102781</c:v>
                </c:pt>
                <c:pt idx="144">
                  <c:v>94.790934713521807</c:v>
                </c:pt>
                <c:pt idx="145">
                  <c:v>94.750628709048854</c:v>
                </c:pt>
                <c:pt idx="146">
                  <c:v>91.169679489710376</c:v>
                </c:pt>
                <c:pt idx="147">
                  <c:v>88.156189962685602</c:v>
                </c:pt>
                <c:pt idx="148">
                  <c:v>80.733770252111213</c:v>
                </c:pt>
                <c:pt idx="149">
                  <c:v>76.302001215545474</c:v>
                </c:pt>
                <c:pt idx="150">
                  <c:v>72.67323771932314</c:v>
                </c:pt>
                <c:pt idx="151">
                  <c:v>71.679224224864967</c:v>
                </c:pt>
                <c:pt idx="152">
                  <c:v>73.871718291794636</c:v>
                </c:pt>
                <c:pt idx="153">
                  <c:v>75.820644918632922</c:v>
                </c:pt>
                <c:pt idx="154">
                  <c:v>80.469142876431462</c:v>
                </c:pt>
                <c:pt idx="155">
                  <c:v>86.407422121413632</c:v>
                </c:pt>
                <c:pt idx="156">
                  <c:v>89.325117330592803</c:v>
                </c:pt>
                <c:pt idx="157">
                  <c:v>92.670289863953144</c:v>
                </c:pt>
                <c:pt idx="158">
                  <c:v>93.78268472314258</c:v>
                </c:pt>
                <c:pt idx="159">
                  <c:v>91.970004520439502</c:v>
                </c:pt>
                <c:pt idx="160">
                  <c:v>91.681433909575247</c:v>
                </c:pt>
                <c:pt idx="161">
                  <c:v>91.59953204347083</c:v>
                </c:pt>
                <c:pt idx="162">
                  <c:v>92.716368532829577</c:v>
                </c:pt>
                <c:pt idx="163">
                  <c:v>93.597984545698722</c:v>
                </c:pt>
                <c:pt idx="164">
                  <c:v>96.455885824974558</c:v>
                </c:pt>
                <c:pt idx="165">
                  <c:v>100.62421550977565</c:v>
                </c:pt>
                <c:pt idx="166">
                  <c:v>102.43222201030515</c:v>
                </c:pt>
                <c:pt idx="167">
                  <c:v>104.54513078573228</c:v>
                </c:pt>
                <c:pt idx="168">
                  <c:v>106.75231535538185</c:v>
                </c:pt>
                <c:pt idx="169">
                  <c:v>113.01687233619705</c:v>
                </c:pt>
                <c:pt idx="170">
                  <c:v>114.68560941504384</c:v>
                </c:pt>
                <c:pt idx="171">
                  <c:v>115.72128707519789</c:v>
                </c:pt>
                <c:pt idx="172">
                  <c:v>119.05031046879797</c:v>
                </c:pt>
                <c:pt idx="173">
                  <c:v>124.21668170981503</c:v>
                </c:pt>
                <c:pt idx="174">
                  <c:v>127.41676304027638</c:v>
                </c:pt>
                <c:pt idx="175">
                  <c:v>127.74946148544166</c:v>
                </c:pt>
                <c:pt idx="176">
                  <c:v>128.80300656179838</c:v>
                </c:pt>
                <c:pt idx="177">
                  <c:v>129.6457320198937</c:v>
                </c:pt>
                <c:pt idx="178">
                  <c:v>131.77319635487908</c:v>
                </c:pt>
                <c:pt idx="179">
                  <c:v>132.94330008170351</c:v>
                </c:pt>
                <c:pt idx="180">
                  <c:v>133.59210976933571</c:v>
                </c:pt>
                <c:pt idx="181">
                  <c:v>134.31670683818166</c:v>
                </c:pt>
                <c:pt idx="182">
                  <c:v>134.98938145390946</c:v>
                </c:pt>
                <c:pt idx="183">
                  <c:v>133.58415781885435</c:v>
                </c:pt>
                <c:pt idx="184">
                  <c:v>134.24659661402421</c:v>
                </c:pt>
                <c:pt idx="185">
                  <c:v>133.88741294178359</c:v>
                </c:pt>
                <c:pt idx="186">
                  <c:v>135.12737882484939</c:v>
                </c:pt>
                <c:pt idx="187">
                  <c:v>137.30810336869291</c:v>
                </c:pt>
                <c:pt idx="188">
                  <c:v>137.99371963339127</c:v>
                </c:pt>
                <c:pt idx="189">
                  <c:v>137.58318251386902</c:v>
                </c:pt>
                <c:pt idx="190">
                  <c:v>136.72504174872495</c:v>
                </c:pt>
                <c:pt idx="191">
                  <c:v>134.8841727467522</c:v>
                </c:pt>
                <c:pt idx="192">
                  <c:v>130.30705987998118</c:v>
                </c:pt>
                <c:pt idx="193">
                  <c:v>130.49032139974037</c:v>
                </c:pt>
                <c:pt idx="194">
                  <c:v>128.03551580378249</c:v>
                </c:pt>
                <c:pt idx="195">
                  <c:v>125.43472922722889</c:v>
                </c:pt>
                <c:pt idx="196">
                  <c:v>124.90596616275185</c:v>
                </c:pt>
                <c:pt idx="197">
                  <c:v>124.57266499413421</c:v>
                </c:pt>
                <c:pt idx="198">
                  <c:v>124.97161527651369</c:v>
                </c:pt>
                <c:pt idx="199">
                  <c:v>123.18786996500546</c:v>
                </c:pt>
                <c:pt idx="200">
                  <c:v>123.2717085023332</c:v>
                </c:pt>
                <c:pt idx="201">
                  <c:v>125.86772095856651</c:v>
                </c:pt>
                <c:pt idx="202">
                  <c:v>132.28854148594056</c:v>
                </c:pt>
                <c:pt idx="203">
                  <c:v>142.15401360244152</c:v>
                </c:pt>
                <c:pt idx="204">
                  <c:v>146.30028287517538</c:v>
                </c:pt>
                <c:pt idx="205">
                  <c:v>153.07908559290925</c:v>
                </c:pt>
                <c:pt idx="206">
                  <c:v>159.30468355347213</c:v>
                </c:pt>
                <c:pt idx="207">
                  <c:v>175.70560860300654</c:v>
                </c:pt>
                <c:pt idx="208">
                  <c:v>181.137892333889</c:v>
                </c:pt>
                <c:pt idx="209">
                  <c:v>209.01905587926578</c:v>
                </c:pt>
                <c:pt idx="210">
                  <c:v>234.08260704624033</c:v>
                </c:pt>
                <c:pt idx="211">
                  <c:v>245.69844209389285</c:v>
                </c:pt>
                <c:pt idx="212">
                  <c:v>252.41868099934459</c:v>
                </c:pt>
                <c:pt idx="213">
                  <c:v>257.05942291769367</c:v>
                </c:pt>
                <c:pt idx="214">
                  <c:v>268.63151058389104</c:v>
                </c:pt>
                <c:pt idx="215">
                  <c:v>266.24291208831647</c:v>
                </c:pt>
                <c:pt idx="216">
                  <c:v>255.74487968618601</c:v>
                </c:pt>
                <c:pt idx="217">
                  <c:v>252.05959861484618</c:v>
                </c:pt>
                <c:pt idx="218">
                  <c:v>248.69437121714145</c:v>
                </c:pt>
                <c:pt idx="219">
                  <c:v>241.74949670892963</c:v>
                </c:pt>
                <c:pt idx="220">
                  <c:v>239.93828373503842</c:v>
                </c:pt>
                <c:pt idx="221">
                  <c:v>240.64416862839769</c:v>
                </c:pt>
                <c:pt idx="222">
                  <c:v>238.86387907290225</c:v>
                </c:pt>
                <c:pt idx="223">
                  <c:v>227.21353048164906</c:v>
                </c:pt>
                <c:pt idx="224">
                  <c:v>203.22832764063597</c:v>
                </c:pt>
                <c:pt idx="225">
                  <c:v>184.96135490379837</c:v>
                </c:pt>
                <c:pt idx="226">
                  <c:v>159.64891697047051</c:v>
                </c:pt>
                <c:pt idx="227">
                  <c:v>142.02949296033125</c:v>
                </c:pt>
                <c:pt idx="228">
                  <c:v>122.24918936217198</c:v>
                </c:pt>
                <c:pt idx="229">
                  <c:v>114.30339075275326</c:v>
                </c:pt>
                <c:pt idx="230">
                  <c:v>117.66792246480034</c:v>
                </c:pt>
                <c:pt idx="231">
                  <c:v>117.38401025432866</c:v>
                </c:pt>
                <c:pt idx="232">
                  <c:v>123.65954373666703</c:v>
                </c:pt>
                <c:pt idx="233">
                  <c:v>122.83094922018893</c:v>
                </c:pt>
                <c:pt idx="234">
                  <c:v>125.91849482343065</c:v>
                </c:pt>
                <c:pt idx="235">
                  <c:v>129.29552184645743</c:v>
                </c:pt>
                <c:pt idx="236">
                  <c:v>144.04168746383789</c:v>
                </c:pt>
                <c:pt idx="237">
                  <c:v>157.54582898344134</c:v>
                </c:pt>
                <c:pt idx="238">
                  <c:v>208.08983148510376</c:v>
                </c:pt>
                <c:pt idx="239">
                  <c:v>215.61779727434958</c:v>
                </c:pt>
                <c:pt idx="240">
                  <c:v>201.99855938795886</c:v>
                </c:pt>
                <c:pt idx="241">
                  <c:v>191.35229037750398</c:v>
                </c:pt>
                <c:pt idx="242">
                  <c:v>187.40499763915005</c:v>
                </c:pt>
                <c:pt idx="243">
                  <c:v>204.25218643230042</c:v>
                </c:pt>
                <c:pt idx="244">
                  <c:v>209.16666641710475</c:v>
                </c:pt>
                <c:pt idx="245">
                  <c:v>203.14020878978945</c:v>
                </c:pt>
                <c:pt idx="246">
                  <c:v>197.8453104599167</c:v>
                </c:pt>
                <c:pt idx="247">
                  <c:v>192.94065894273996</c:v>
                </c:pt>
                <c:pt idx="248">
                  <c:v>198.37643141737144</c:v>
                </c:pt>
                <c:pt idx="249">
                  <c:v>202.60682970125296</c:v>
                </c:pt>
                <c:pt idx="250">
                  <c:v>207.79065163453708</c:v>
                </c:pt>
                <c:pt idx="251">
                  <c:v>208.36256055608993</c:v>
                </c:pt>
                <c:pt idx="252">
                  <c:v>221.25256838910033</c:v>
                </c:pt>
                <c:pt idx="253">
                  <c:v>230.03938163807854</c:v>
                </c:pt>
                <c:pt idx="254">
                  <c:v>234.35320095931701</c:v>
                </c:pt>
                <c:pt idx="255">
                  <c:v>228.69830486119454</c:v>
                </c:pt>
                <c:pt idx="256">
                  <c:v>231.05462026791659</c:v>
                </c:pt>
                <c:pt idx="257">
                  <c:v>231.6104182765213</c:v>
                </c:pt>
                <c:pt idx="258">
                  <c:v>227.81836449086774</c:v>
                </c:pt>
                <c:pt idx="259">
                  <c:v>220.6262509552443</c:v>
                </c:pt>
                <c:pt idx="260">
                  <c:v>214.6879364203476</c:v>
                </c:pt>
                <c:pt idx="261">
                  <c:v>203.52961038575791</c:v>
                </c:pt>
                <c:pt idx="262">
                  <c:v>200.9785411189394</c:v>
                </c:pt>
                <c:pt idx="263">
                  <c:v>201.68903958777946</c:v>
                </c:pt>
                <c:pt idx="264">
                  <c:v>206.76809448983039</c:v>
                </c:pt>
                <c:pt idx="265">
                  <c:v>202.0472689932003</c:v>
                </c:pt>
                <c:pt idx="266">
                  <c:v>196.98757715520296</c:v>
                </c:pt>
                <c:pt idx="267">
                  <c:v>185.6412927638693</c:v>
                </c:pt>
                <c:pt idx="268">
                  <c:v>176.07945102915292</c:v>
                </c:pt>
                <c:pt idx="269">
                  <c:v>173.39096388219804</c:v>
                </c:pt>
                <c:pt idx="270">
                  <c:v>172.92083044711322</c:v>
                </c:pt>
                <c:pt idx="271">
                  <c:v>175.63497665422611</c:v>
                </c:pt>
              </c:numCache>
            </c:numRef>
          </c:yVal>
          <c:smooth val="0"/>
        </c:ser>
        <c:ser>
          <c:idx val="0"/>
          <c:order val="4"/>
          <c:tx>
            <c:strRef>
              <c:f>'World Food Prices'!$B$3</c:f>
              <c:strCache>
                <c:ptCount val="1"/>
                <c:pt idx="0">
                  <c:v>Meat</c:v>
                </c:pt>
              </c:strCache>
            </c:strRef>
          </c:tx>
          <c:spPr>
            <a:ln w="19050">
              <a:solidFill>
                <a:srgbClr val="C00000"/>
              </a:solidFill>
              <a:prstDash val="solid"/>
            </a:ln>
          </c:spPr>
          <c:marker>
            <c:symbol val="none"/>
          </c:marker>
          <c:xVal>
            <c:numRef>
              <c:f>'World Food Prices'!$A$6:$A$277</c:f>
              <c:numCache>
                <c:formatCode>mmm\-yyyy</c:formatCode>
                <c:ptCount val="272"/>
                <c:pt idx="0">
                  <c:v>32874</c:v>
                </c:pt>
                <c:pt idx="1">
                  <c:v>32905</c:v>
                </c:pt>
                <c:pt idx="2">
                  <c:v>32933</c:v>
                </c:pt>
                <c:pt idx="3">
                  <c:v>32964</c:v>
                </c:pt>
                <c:pt idx="4">
                  <c:v>32994</c:v>
                </c:pt>
                <c:pt idx="5">
                  <c:v>33025</c:v>
                </c:pt>
                <c:pt idx="6">
                  <c:v>33055</c:v>
                </c:pt>
                <c:pt idx="7">
                  <c:v>33086</c:v>
                </c:pt>
                <c:pt idx="8">
                  <c:v>33117</c:v>
                </c:pt>
                <c:pt idx="9">
                  <c:v>33147</c:v>
                </c:pt>
                <c:pt idx="10">
                  <c:v>33178</c:v>
                </c:pt>
                <c:pt idx="11">
                  <c:v>33208</c:v>
                </c:pt>
                <c:pt idx="12">
                  <c:v>33239</c:v>
                </c:pt>
                <c:pt idx="13">
                  <c:v>33270</c:v>
                </c:pt>
                <c:pt idx="14">
                  <c:v>33298</c:v>
                </c:pt>
                <c:pt idx="15">
                  <c:v>33329</c:v>
                </c:pt>
                <c:pt idx="16">
                  <c:v>33359</c:v>
                </c:pt>
                <c:pt idx="17">
                  <c:v>33390</c:v>
                </c:pt>
                <c:pt idx="18">
                  <c:v>33420</c:v>
                </c:pt>
                <c:pt idx="19">
                  <c:v>33451</c:v>
                </c:pt>
                <c:pt idx="20">
                  <c:v>33482</c:v>
                </c:pt>
                <c:pt idx="21">
                  <c:v>33512</c:v>
                </c:pt>
                <c:pt idx="22">
                  <c:v>33543</c:v>
                </c:pt>
                <c:pt idx="23">
                  <c:v>33573</c:v>
                </c:pt>
                <c:pt idx="24">
                  <c:v>33604</c:v>
                </c:pt>
                <c:pt idx="25">
                  <c:v>33635</c:v>
                </c:pt>
                <c:pt idx="26">
                  <c:v>33664</c:v>
                </c:pt>
                <c:pt idx="27">
                  <c:v>33695</c:v>
                </c:pt>
                <c:pt idx="28">
                  <c:v>33725</c:v>
                </c:pt>
                <c:pt idx="29">
                  <c:v>33756</c:v>
                </c:pt>
                <c:pt idx="30">
                  <c:v>33786</c:v>
                </c:pt>
                <c:pt idx="31">
                  <c:v>33817</c:v>
                </c:pt>
                <c:pt idx="32">
                  <c:v>33848</c:v>
                </c:pt>
                <c:pt idx="33">
                  <c:v>33878</c:v>
                </c:pt>
                <c:pt idx="34">
                  <c:v>33909</c:v>
                </c:pt>
                <c:pt idx="35">
                  <c:v>33939</c:v>
                </c:pt>
                <c:pt idx="36">
                  <c:v>33970</c:v>
                </c:pt>
                <c:pt idx="37">
                  <c:v>34001</c:v>
                </c:pt>
                <c:pt idx="38">
                  <c:v>34029</c:v>
                </c:pt>
                <c:pt idx="39">
                  <c:v>34060</c:v>
                </c:pt>
                <c:pt idx="40">
                  <c:v>34090</c:v>
                </c:pt>
                <c:pt idx="41">
                  <c:v>34121</c:v>
                </c:pt>
                <c:pt idx="42">
                  <c:v>34151</c:v>
                </c:pt>
                <c:pt idx="43">
                  <c:v>34182</c:v>
                </c:pt>
                <c:pt idx="44">
                  <c:v>34213</c:v>
                </c:pt>
                <c:pt idx="45">
                  <c:v>34243</c:v>
                </c:pt>
                <c:pt idx="46">
                  <c:v>34274</c:v>
                </c:pt>
                <c:pt idx="47">
                  <c:v>34304</c:v>
                </c:pt>
                <c:pt idx="48">
                  <c:v>34335</c:v>
                </c:pt>
                <c:pt idx="49">
                  <c:v>34366</c:v>
                </c:pt>
                <c:pt idx="50">
                  <c:v>34394</c:v>
                </c:pt>
                <c:pt idx="51">
                  <c:v>34425</c:v>
                </c:pt>
                <c:pt idx="52">
                  <c:v>34455</c:v>
                </c:pt>
                <c:pt idx="53">
                  <c:v>34486</c:v>
                </c:pt>
                <c:pt idx="54">
                  <c:v>34516</c:v>
                </c:pt>
                <c:pt idx="55">
                  <c:v>34547</c:v>
                </c:pt>
                <c:pt idx="56">
                  <c:v>34578</c:v>
                </c:pt>
                <c:pt idx="57">
                  <c:v>34608</c:v>
                </c:pt>
                <c:pt idx="58">
                  <c:v>34639</c:v>
                </c:pt>
                <c:pt idx="59">
                  <c:v>34669</c:v>
                </c:pt>
                <c:pt idx="60">
                  <c:v>34700</c:v>
                </c:pt>
                <c:pt idx="61">
                  <c:v>34731</c:v>
                </c:pt>
                <c:pt idx="62">
                  <c:v>34759</c:v>
                </c:pt>
                <c:pt idx="63">
                  <c:v>34790</c:v>
                </c:pt>
                <c:pt idx="64">
                  <c:v>34820</c:v>
                </c:pt>
                <c:pt idx="65">
                  <c:v>34851</c:v>
                </c:pt>
                <c:pt idx="66">
                  <c:v>34881</c:v>
                </c:pt>
                <c:pt idx="67">
                  <c:v>34912</c:v>
                </c:pt>
                <c:pt idx="68">
                  <c:v>34943</c:v>
                </c:pt>
                <c:pt idx="69">
                  <c:v>34973</c:v>
                </c:pt>
                <c:pt idx="70">
                  <c:v>35004</c:v>
                </c:pt>
                <c:pt idx="71">
                  <c:v>35034</c:v>
                </c:pt>
                <c:pt idx="72">
                  <c:v>35065</c:v>
                </c:pt>
                <c:pt idx="73">
                  <c:v>35096</c:v>
                </c:pt>
                <c:pt idx="74">
                  <c:v>35125</c:v>
                </c:pt>
                <c:pt idx="75">
                  <c:v>35156</c:v>
                </c:pt>
                <c:pt idx="76">
                  <c:v>35186</c:v>
                </c:pt>
                <c:pt idx="77">
                  <c:v>35217</c:v>
                </c:pt>
                <c:pt idx="78">
                  <c:v>35247</c:v>
                </c:pt>
                <c:pt idx="79">
                  <c:v>35278</c:v>
                </c:pt>
                <c:pt idx="80">
                  <c:v>35309</c:v>
                </c:pt>
                <c:pt idx="81">
                  <c:v>35339</c:v>
                </c:pt>
                <c:pt idx="82">
                  <c:v>35370</c:v>
                </c:pt>
                <c:pt idx="83">
                  <c:v>35400</c:v>
                </c:pt>
                <c:pt idx="84">
                  <c:v>35431</c:v>
                </c:pt>
                <c:pt idx="85">
                  <c:v>35462</c:v>
                </c:pt>
                <c:pt idx="86">
                  <c:v>35490</c:v>
                </c:pt>
                <c:pt idx="87">
                  <c:v>35521</c:v>
                </c:pt>
                <c:pt idx="88">
                  <c:v>35551</c:v>
                </c:pt>
                <c:pt idx="89">
                  <c:v>35582</c:v>
                </c:pt>
                <c:pt idx="90">
                  <c:v>35612</c:v>
                </c:pt>
                <c:pt idx="91">
                  <c:v>35643</c:v>
                </c:pt>
                <c:pt idx="92">
                  <c:v>35674</c:v>
                </c:pt>
                <c:pt idx="93">
                  <c:v>35704</c:v>
                </c:pt>
                <c:pt idx="94">
                  <c:v>35735</c:v>
                </c:pt>
                <c:pt idx="95">
                  <c:v>35765</c:v>
                </c:pt>
                <c:pt idx="96">
                  <c:v>35796</c:v>
                </c:pt>
                <c:pt idx="97">
                  <c:v>35827</c:v>
                </c:pt>
                <c:pt idx="98">
                  <c:v>35855</c:v>
                </c:pt>
                <c:pt idx="99">
                  <c:v>35886</c:v>
                </c:pt>
                <c:pt idx="100">
                  <c:v>35916</c:v>
                </c:pt>
                <c:pt idx="101">
                  <c:v>35947</c:v>
                </c:pt>
                <c:pt idx="102">
                  <c:v>35977</c:v>
                </c:pt>
                <c:pt idx="103">
                  <c:v>36008</c:v>
                </c:pt>
                <c:pt idx="104">
                  <c:v>36039</c:v>
                </c:pt>
                <c:pt idx="105">
                  <c:v>36069</c:v>
                </c:pt>
                <c:pt idx="106">
                  <c:v>36100</c:v>
                </c:pt>
                <c:pt idx="107">
                  <c:v>36130</c:v>
                </c:pt>
                <c:pt idx="108">
                  <c:v>36161</c:v>
                </c:pt>
                <c:pt idx="109">
                  <c:v>36192</c:v>
                </c:pt>
                <c:pt idx="110">
                  <c:v>36220</c:v>
                </c:pt>
                <c:pt idx="111">
                  <c:v>36251</c:v>
                </c:pt>
                <c:pt idx="112">
                  <c:v>36281</c:v>
                </c:pt>
                <c:pt idx="113">
                  <c:v>36312</c:v>
                </c:pt>
                <c:pt idx="114">
                  <c:v>36342</c:v>
                </c:pt>
                <c:pt idx="115">
                  <c:v>36373</c:v>
                </c:pt>
                <c:pt idx="116">
                  <c:v>36404</c:v>
                </c:pt>
                <c:pt idx="117">
                  <c:v>36434</c:v>
                </c:pt>
                <c:pt idx="118">
                  <c:v>36465</c:v>
                </c:pt>
                <c:pt idx="119">
                  <c:v>36495</c:v>
                </c:pt>
                <c:pt idx="120">
                  <c:v>36526</c:v>
                </c:pt>
                <c:pt idx="121">
                  <c:v>36557</c:v>
                </c:pt>
                <c:pt idx="122">
                  <c:v>36586</c:v>
                </c:pt>
                <c:pt idx="123">
                  <c:v>36617</c:v>
                </c:pt>
                <c:pt idx="124">
                  <c:v>36647</c:v>
                </c:pt>
                <c:pt idx="125">
                  <c:v>36678</c:v>
                </c:pt>
                <c:pt idx="126">
                  <c:v>36708</c:v>
                </c:pt>
                <c:pt idx="127">
                  <c:v>36739</c:v>
                </c:pt>
                <c:pt idx="128">
                  <c:v>36770</c:v>
                </c:pt>
                <c:pt idx="129">
                  <c:v>36800</c:v>
                </c:pt>
                <c:pt idx="130">
                  <c:v>36831</c:v>
                </c:pt>
                <c:pt idx="131">
                  <c:v>36861</c:v>
                </c:pt>
                <c:pt idx="132">
                  <c:v>36892</c:v>
                </c:pt>
                <c:pt idx="133">
                  <c:v>36923</c:v>
                </c:pt>
                <c:pt idx="134">
                  <c:v>36951</c:v>
                </c:pt>
                <c:pt idx="135">
                  <c:v>36982</c:v>
                </c:pt>
                <c:pt idx="136">
                  <c:v>37012</c:v>
                </c:pt>
                <c:pt idx="137">
                  <c:v>37043</c:v>
                </c:pt>
                <c:pt idx="138">
                  <c:v>37073</c:v>
                </c:pt>
                <c:pt idx="139">
                  <c:v>37104</c:v>
                </c:pt>
                <c:pt idx="140">
                  <c:v>37135</c:v>
                </c:pt>
                <c:pt idx="141">
                  <c:v>37165</c:v>
                </c:pt>
                <c:pt idx="142">
                  <c:v>37196</c:v>
                </c:pt>
                <c:pt idx="143">
                  <c:v>37226</c:v>
                </c:pt>
                <c:pt idx="144">
                  <c:v>37257</c:v>
                </c:pt>
                <c:pt idx="145">
                  <c:v>37288</c:v>
                </c:pt>
                <c:pt idx="146">
                  <c:v>37316</c:v>
                </c:pt>
                <c:pt idx="147">
                  <c:v>37347</c:v>
                </c:pt>
                <c:pt idx="148">
                  <c:v>37377</c:v>
                </c:pt>
                <c:pt idx="149">
                  <c:v>37408</c:v>
                </c:pt>
                <c:pt idx="150">
                  <c:v>37438</c:v>
                </c:pt>
                <c:pt idx="151">
                  <c:v>37469</c:v>
                </c:pt>
                <c:pt idx="152">
                  <c:v>37500</c:v>
                </c:pt>
                <c:pt idx="153">
                  <c:v>37530</c:v>
                </c:pt>
                <c:pt idx="154">
                  <c:v>37561</c:v>
                </c:pt>
                <c:pt idx="155">
                  <c:v>37591</c:v>
                </c:pt>
                <c:pt idx="156">
                  <c:v>37622</c:v>
                </c:pt>
                <c:pt idx="157">
                  <c:v>37653</c:v>
                </c:pt>
                <c:pt idx="158">
                  <c:v>37681</c:v>
                </c:pt>
                <c:pt idx="159">
                  <c:v>37712</c:v>
                </c:pt>
                <c:pt idx="160">
                  <c:v>37742</c:v>
                </c:pt>
                <c:pt idx="161">
                  <c:v>37773</c:v>
                </c:pt>
                <c:pt idx="162">
                  <c:v>37803</c:v>
                </c:pt>
                <c:pt idx="163">
                  <c:v>37834</c:v>
                </c:pt>
                <c:pt idx="164">
                  <c:v>37865</c:v>
                </c:pt>
                <c:pt idx="165">
                  <c:v>37895</c:v>
                </c:pt>
                <c:pt idx="166">
                  <c:v>37926</c:v>
                </c:pt>
                <c:pt idx="167">
                  <c:v>37956</c:v>
                </c:pt>
                <c:pt idx="168">
                  <c:v>37987</c:v>
                </c:pt>
                <c:pt idx="169">
                  <c:v>38018</c:v>
                </c:pt>
                <c:pt idx="170">
                  <c:v>38047</c:v>
                </c:pt>
                <c:pt idx="171">
                  <c:v>38078</c:v>
                </c:pt>
                <c:pt idx="172">
                  <c:v>38108</c:v>
                </c:pt>
                <c:pt idx="173">
                  <c:v>38139</c:v>
                </c:pt>
                <c:pt idx="174">
                  <c:v>38169</c:v>
                </c:pt>
                <c:pt idx="175">
                  <c:v>38200</c:v>
                </c:pt>
                <c:pt idx="176">
                  <c:v>38231</c:v>
                </c:pt>
                <c:pt idx="177">
                  <c:v>38261</c:v>
                </c:pt>
                <c:pt idx="178">
                  <c:v>38292</c:v>
                </c:pt>
                <c:pt idx="179">
                  <c:v>38322</c:v>
                </c:pt>
                <c:pt idx="180">
                  <c:v>38353</c:v>
                </c:pt>
                <c:pt idx="181">
                  <c:v>38384</c:v>
                </c:pt>
                <c:pt idx="182">
                  <c:v>38412</c:v>
                </c:pt>
                <c:pt idx="183">
                  <c:v>38443</c:v>
                </c:pt>
                <c:pt idx="184">
                  <c:v>38473</c:v>
                </c:pt>
                <c:pt idx="185">
                  <c:v>38504</c:v>
                </c:pt>
                <c:pt idx="186">
                  <c:v>38534</c:v>
                </c:pt>
                <c:pt idx="187">
                  <c:v>38565</c:v>
                </c:pt>
                <c:pt idx="188">
                  <c:v>38596</c:v>
                </c:pt>
                <c:pt idx="189">
                  <c:v>38626</c:v>
                </c:pt>
                <c:pt idx="190">
                  <c:v>38657</c:v>
                </c:pt>
                <c:pt idx="191">
                  <c:v>38687</c:v>
                </c:pt>
                <c:pt idx="192">
                  <c:v>38718</c:v>
                </c:pt>
                <c:pt idx="193">
                  <c:v>38749</c:v>
                </c:pt>
                <c:pt idx="194">
                  <c:v>38777</c:v>
                </c:pt>
                <c:pt idx="195">
                  <c:v>38808</c:v>
                </c:pt>
                <c:pt idx="196">
                  <c:v>38838</c:v>
                </c:pt>
                <c:pt idx="197">
                  <c:v>38869</c:v>
                </c:pt>
                <c:pt idx="198">
                  <c:v>38899</c:v>
                </c:pt>
                <c:pt idx="199">
                  <c:v>38930</c:v>
                </c:pt>
                <c:pt idx="200">
                  <c:v>38961</c:v>
                </c:pt>
                <c:pt idx="201">
                  <c:v>38991</c:v>
                </c:pt>
                <c:pt idx="202">
                  <c:v>39022</c:v>
                </c:pt>
                <c:pt idx="203">
                  <c:v>39052</c:v>
                </c:pt>
                <c:pt idx="204">
                  <c:v>39083</c:v>
                </c:pt>
                <c:pt idx="205">
                  <c:v>39114</c:v>
                </c:pt>
                <c:pt idx="206">
                  <c:v>39142</c:v>
                </c:pt>
                <c:pt idx="207">
                  <c:v>39173</c:v>
                </c:pt>
                <c:pt idx="208">
                  <c:v>39203</c:v>
                </c:pt>
                <c:pt idx="209">
                  <c:v>39234</c:v>
                </c:pt>
                <c:pt idx="210">
                  <c:v>39264</c:v>
                </c:pt>
                <c:pt idx="211">
                  <c:v>39295</c:v>
                </c:pt>
                <c:pt idx="212">
                  <c:v>39326</c:v>
                </c:pt>
                <c:pt idx="213">
                  <c:v>39356</c:v>
                </c:pt>
                <c:pt idx="214">
                  <c:v>39387</c:v>
                </c:pt>
                <c:pt idx="215">
                  <c:v>39417</c:v>
                </c:pt>
                <c:pt idx="216">
                  <c:v>39448</c:v>
                </c:pt>
                <c:pt idx="217">
                  <c:v>39479</c:v>
                </c:pt>
                <c:pt idx="218">
                  <c:v>39508</c:v>
                </c:pt>
                <c:pt idx="219">
                  <c:v>39539</c:v>
                </c:pt>
                <c:pt idx="220">
                  <c:v>39569</c:v>
                </c:pt>
                <c:pt idx="221">
                  <c:v>39600</c:v>
                </c:pt>
                <c:pt idx="222">
                  <c:v>39630</c:v>
                </c:pt>
                <c:pt idx="223">
                  <c:v>39661</c:v>
                </c:pt>
                <c:pt idx="224">
                  <c:v>39692</c:v>
                </c:pt>
                <c:pt idx="225">
                  <c:v>39722</c:v>
                </c:pt>
                <c:pt idx="226">
                  <c:v>39753</c:v>
                </c:pt>
                <c:pt idx="227">
                  <c:v>39783</c:v>
                </c:pt>
                <c:pt idx="228">
                  <c:v>39814</c:v>
                </c:pt>
                <c:pt idx="229">
                  <c:v>39845</c:v>
                </c:pt>
                <c:pt idx="230">
                  <c:v>39873</c:v>
                </c:pt>
                <c:pt idx="231">
                  <c:v>39904</c:v>
                </c:pt>
                <c:pt idx="232">
                  <c:v>39934</c:v>
                </c:pt>
                <c:pt idx="233">
                  <c:v>39965</c:v>
                </c:pt>
                <c:pt idx="234">
                  <c:v>39995</c:v>
                </c:pt>
                <c:pt idx="235">
                  <c:v>40026</c:v>
                </c:pt>
                <c:pt idx="236">
                  <c:v>40057</c:v>
                </c:pt>
                <c:pt idx="237">
                  <c:v>40087</c:v>
                </c:pt>
                <c:pt idx="238">
                  <c:v>40118</c:v>
                </c:pt>
                <c:pt idx="239">
                  <c:v>40148</c:v>
                </c:pt>
                <c:pt idx="240">
                  <c:v>40179</c:v>
                </c:pt>
                <c:pt idx="241">
                  <c:v>40210</c:v>
                </c:pt>
                <c:pt idx="242">
                  <c:v>40238</c:v>
                </c:pt>
                <c:pt idx="243">
                  <c:v>40269</c:v>
                </c:pt>
                <c:pt idx="244">
                  <c:v>40299</c:v>
                </c:pt>
                <c:pt idx="245">
                  <c:v>40330</c:v>
                </c:pt>
                <c:pt idx="246">
                  <c:v>40360</c:v>
                </c:pt>
                <c:pt idx="247">
                  <c:v>40391</c:v>
                </c:pt>
                <c:pt idx="248">
                  <c:v>40422</c:v>
                </c:pt>
                <c:pt idx="249">
                  <c:v>40452</c:v>
                </c:pt>
                <c:pt idx="250">
                  <c:v>40483</c:v>
                </c:pt>
                <c:pt idx="251">
                  <c:v>40513</c:v>
                </c:pt>
                <c:pt idx="252">
                  <c:v>40554</c:v>
                </c:pt>
                <c:pt idx="253">
                  <c:v>40585</c:v>
                </c:pt>
                <c:pt idx="254">
                  <c:v>40613</c:v>
                </c:pt>
                <c:pt idx="255">
                  <c:v>40644</c:v>
                </c:pt>
                <c:pt idx="256">
                  <c:v>40674</c:v>
                </c:pt>
                <c:pt idx="257">
                  <c:v>40705</c:v>
                </c:pt>
                <c:pt idx="258">
                  <c:v>40735</c:v>
                </c:pt>
                <c:pt idx="259">
                  <c:v>40766</c:v>
                </c:pt>
                <c:pt idx="260">
                  <c:v>40797</c:v>
                </c:pt>
                <c:pt idx="261">
                  <c:v>40827</c:v>
                </c:pt>
                <c:pt idx="262">
                  <c:v>40858</c:v>
                </c:pt>
                <c:pt idx="263">
                  <c:v>40878</c:v>
                </c:pt>
                <c:pt idx="264">
                  <c:v>40909</c:v>
                </c:pt>
                <c:pt idx="265">
                  <c:v>40940</c:v>
                </c:pt>
                <c:pt idx="266">
                  <c:v>40969</c:v>
                </c:pt>
                <c:pt idx="267">
                  <c:v>41000</c:v>
                </c:pt>
                <c:pt idx="268">
                  <c:v>41030</c:v>
                </c:pt>
                <c:pt idx="269">
                  <c:v>41061</c:v>
                </c:pt>
                <c:pt idx="270">
                  <c:v>41091</c:v>
                </c:pt>
                <c:pt idx="271">
                  <c:v>41122</c:v>
                </c:pt>
              </c:numCache>
            </c:numRef>
          </c:xVal>
          <c:yVal>
            <c:numRef>
              <c:f>'World Food Prices'!$B$6:$B$277</c:f>
              <c:numCache>
                <c:formatCode>0.0</c:formatCode>
                <c:ptCount val="272"/>
                <c:pt idx="0">
                  <c:v>108.13418745152707</c:v>
                </c:pt>
                <c:pt idx="1">
                  <c:v>113.06895079198387</c:v>
                </c:pt>
                <c:pt idx="2">
                  <c:v>115.40591594786993</c:v>
                </c:pt>
                <c:pt idx="3">
                  <c:v>127.45167247961386</c:v>
                </c:pt>
                <c:pt idx="4">
                  <c:v>127.37208969726819</c:v>
                </c:pt>
                <c:pt idx="5">
                  <c:v>127.86198088390708</c:v>
                </c:pt>
                <c:pt idx="6">
                  <c:v>126.26877969083981</c:v>
                </c:pt>
                <c:pt idx="7">
                  <c:v>123.82347740130828</c:v>
                </c:pt>
                <c:pt idx="8">
                  <c:v>131.51162901931255</c:v>
                </c:pt>
                <c:pt idx="9">
                  <c:v>129.97222640628513</c:v>
                </c:pt>
                <c:pt idx="10">
                  <c:v>126.95408739508925</c:v>
                </c:pt>
                <c:pt idx="11">
                  <c:v>130.03636792377981</c:v>
                </c:pt>
                <c:pt idx="12">
                  <c:v>128.01328771188844</c:v>
                </c:pt>
                <c:pt idx="13">
                  <c:v>133.91441398088978</c:v>
                </c:pt>
                <c:pt idx="14">
                  <c:v>126.64352875695882</c:v>
                </c:pt>
                <c:pt idx="15">
                  <c:v>122.15943904256117</c:v>
                </c:pt>
                <c:pt idx="16">
                  <c:v>123.34946782730481</c:v>
                </c:pt>
                <c:pt idx="17">
                  <c:v>121.77267309021759</c:v>
                </c:pt>
                <c:pt idx="18">
                  <c:v>121.44204796515135</c:v>
                </c:pt>
                <c:pt idx="19">
                  <c:v>120.16791742709169</c:v>
                </c:pt>
                <c:pt idx="20">
                  <c:v>123.14547355796854</c:v>
                </c:pt>
                <c:pt idx="21">
                  <c:v>126.15121512613415</c:v>
                </c:pt>
                <c:pt idx="22">
                  <c:v>131.01602876450954</c:v>
                </c:pt>
                <c:pt idx="23">
                  <c:v>127.07498672401461</c:v>
                </c:pt>
                <c:pt idx="24">
                  <c:v>125.55539373873066</c:v>
                </c:pt>
                <c:pt idx="25">
                  <c:v>129.62913114368143</c:v>
                </c:pt>
                <c:pt idx="26">
                  <c:v>124.20035109600467</c:v>
                </c:pt>
                <c:pt idx="27">
                  <c:v>123.47086995006531</c:v>
                </c:pt>
                <c:pt idx="28">
                  <c:v>125.31344620501019</c:v>
                </c:pt>
                <c:pt idx="29">
                  <c:v>126.78501608812425</c:v>
                </c:pt>
                <c:pt idx="30">
                  <c:v>125.65534683155606</c:v>
                </c:pt>
                <c:pt idx="31">
                  <c:v>126.64581311722468</c:v>
                </c:pt>
                <c:pt idx="32">
                  <c:v>124.51187285750748</c:v>
                </c:pt>
                <c:pt idx="33">
                  <c:v>122.7845463052037</c:v>
                </c:pt>
                <c:pt idx="34">
                  <c:v>128.01513077914939</c:v>
                </c:pt>
                <c:pt idx="35">
                  <c:v>119.89899934026394</c:v>
                </c:pt>
                <c:pt idx="36">
                  <c:v>121.89370975745265</c:v>
                </c:pt>
                <c:pt idx="37">
                  <c:v>121.35011841140577</c:v>
                </c:pt>
                <c:pt idx="38">
                  <c:v>121.21640480309817</c:v>
                </c:pt>
                <c:pt idx="39">
                  <c:v>117.7211366180257</c:v>
                </c:pt>
                <c:pt idx="40">
                  <c:v>119.04864942763625</c:v>
                </c:pt>
                <c:pt idx="41">
                  <c:v>119.68288289418574</c:v>
                </c:pt>
                <c:pt idx="42">
                  <c:v>118.84922190986273</c:v>
                </c:pt>
                <c:pt idx="43">
                  <c:v>114.92750648249594</c:v>
                </c:pt>
                <c:pt idx="44">
                  <c:v>116.20547642658634</c:v>
                </c:pt>
                <c:pt idx="45">
                  <c:v>117.74340423287444</c:v>
                </c:pt>
                <c:pt idx="46">
                  <c:v>116.74975292108802</c:v>
                </c:pt>
                <c:pt idx="47">
                  <c:v>111.69406765876282</c:v>
                </c:pt>
                <c:pt idx="48">
                  <c:v>112.87873979649817</c:v>
                </c:pt>
                <c:pt idx="49">
                  <c:v>113.42465534590774</c:v>
                </c:pt>
                <c:pt idx="50">
                  <c:v>112.1090528609015</c:v>
                </c:pt>
                <c:pt idx="51">
                  <c:v>111.31530686792543</c:v>
                </c:pt>
                <c:pt idx="52">
                  <c:v>117.65494721998411</c:v>
                </c:pt>
                <c:pt idx="53">
                  <c:v>114.51783282412458</c:v>
                </c:pt>
                <c:pt idx="54">
                  <c:v>114.67175635349885</c:v>
                </c:pt>
                <c:pt idx="55">
                  <c:v>117.21764222579377</c:v>
                </c:pt>
                <c:pt idx="56">
                  <c:v>117.05237532802877</c:v>
                </c:pt>
                <c:pt idx="57">
                  <c:v>116.92454427759758</c:v>
                </c:pt>
                <c:pt idx="58">
                  <c:v>119.01926200158854</c:v>
                </c:pt>
                <c:pt idx="59">
                  <c:v>113.31817014615137</c:v>
                </c:pt>
                <c:pt idx="60">
                  <c:v>111.40263047187275</c:v>
                </c:pt>
                <c:pt idx="61">
                  <c:v>118.80337359770527</c:v>
                </c:pt>
                <c:pt idx="62">
                  <c:v>120.99801208392907</c:v>
                </c:pt>
                <c:pt idx="63">
                  <c:v>117.2428410043692</c:v>
                </c:pt>
                <c:pt idx="64">
                  <c:v>115.81385842945568</c:v>
                </c:pt>
                <c:pt idx="65">
                  <c:v>113.0115038879995</c:v>
                </c:pt>
                <c:pt idx="66">
                  <c:v>119.19202059537974</c:v>
                </c:pt>
                <c:pt idx="67">
                  <c:v>118.36473366436022</c:v>
                </c:pt>
                <c:pt idx="68">
                  <c:v>123.12630462431784</c:v>
                </c:pt>
                <c:pt idx="69">
                  <c:v>124.86667750349821</c:v>
                </c:pt>
                <c:pt idx="70">
                  <c:v>121.50436768902205</c:v>
                </c:pt>
                <c:pt idx="71">
                  <c:v>116.92298977870496</c:v>
                </c:pt>
                <c:pt idx="72">
                  <c:v>124.07868900342936</c:v>
                </c:pt>
                <c:pt idx="73">
                  <c:v>123.22827618111454</c:v>
                </c:pt>
                <c:pt idx="74">
                  <c:v>126.75682321955651</c:v>
                </c:pt>
                <c:pt idx="75">
                  <c:v>124.69207426813512</c:v>
                </c:pt>
                <c:pt idx="76">
                  <c:v>130.66984425906699</c:v>
                </c:pt>
                <c:pt idx="77">
                  <c:v>130.02553834152448</c:v>
                </c:pt>
                <c:pt idx="78">
                  <c:v>129.73688639522322</c:v>
                </c:pt>
                <c:pt idx="79">
                  <c:v>133.96579638669036</c:v>
                </c:pt>
                <c:pt idx="80">
                  <c:v>133.31770232831033</c:v>
                </c:pt>
                <c:pt idx="81">
                  <c:v>130.04164549969451</c:v>
                </c:pt>
                <c:pt idx="82">
                  <c:v>127.86597007195</c:v>
                </c:pt>
                <c:pt idx="83">
                  <c:v>126.62132627096054</c:v>
                </c:pt>
                <c:pt idx="84">
                  <c:v>121.5994119524298</c:v>
                </c:pt>
                <c:pt idx="85">
                  <c:v>125.09040903269705</c:v>
                </c:pt>
                <c:pt idx="86">
                  <c:v>129.97273681236686</c:v>
                </c:pt>
                <c:pt idx="87">
                  <c:v>129.84037115046914</c:v>
                </c:pt>
                <c:pt idx="88">
                  <c:v>131.62973839848348</c:v>
                </c:pt>
                <c:pt idx="89">
                  <c:v>125.69141144828333</c:v>
                </c:pt>
                <c:pt idx="90">
                  <c:v>123.84233488824738</c:v>
                </c:pt>
                <c:pt idx="91">
                  <c:v>123.04113172114744</c:v>
                </c:pt>
                <c:pt idx="92">
                  <c:v>120.30060047060189</c:v>
                </c:pt>
                <c:pt idx="93">
                  <c:v>118.83776374145876</c:v>
                </c:pt>
                <c:pt idx="94">
                  <c:v>118.46253180457968</c:v>
                </c:pt>
                <c:pt idx="95">
                  <c:v>109.85815157708207</c:v>
                </c:pt>
                <c:pt idx="96">
                  <c:v>107.23487329155262</c:v>
                </c:pt>
                <c:pt idx="97">
                  <c:v>108.32011890010904</c:v>
                </c:pt>
                <c:pt idx="98">
                  <c:v>109.30048114033033</c:v>
                </c:pt>
                <c:pt idx="99">
                  <c:v>108.22081999590732</c:v>
                </c:pt>
                <c:pt idx="100">
                  <c:v>104.11137564605922</c:v>
                </c:pt>
                <c:pt idx="101">
                  <c:v>104.77627650215263</c:v>
                </c:pt>
                <c:pt idx="102">
                  <c:v>100.80100854702275</c:v>
                </c:pt>
                <c:pt idx="103">
                  <c:v>99.481504353282247</c:v>
                </c:pt>
                <c:pt idx="104">
                  <c:v>99.299966002932067</c:v>
                </c:pt>
                <c:pt idx="105">
                  <c:v>99.297378080297548</c:v>
                </c:pt>
                <c:pt idx="106">
                  <c:v>98.059178400089181</c:v>
                </c:pt>
                <c:pt idx="107">
                  <c:v>99.540486159588468</c:v>
                </c:pt>
                <c:pt idx="108">
                  <c:v>97.672420083008774</c:v>
                </c:pt>
                <c:pt idx="109">
                  <c:v>98.089816523474553</c:v>
                </c:pt>
                <c:pt idx="110">
                  <c:v>98.42712902559785</c:v>
                </c:pt>
                <c:pt idx="111">
                  <c:v>95.936722137998657</c:v>
                </c:pt>
                <c:pt idx="112">
                  <c:v>96.147126646681329</c:v>
                </c:pt>
                <c:pt idx="113">
                  <c:v>96.67286237342158</c:v>
                </c:pt>
                <c:pt idx="114">
                  <c:v>97.777475497773352</c:v>
                </c:pt>
                <c:pt idx="115">
                  <c:v>100.27932280343546</c:v>
                </c:pt>
                <c:pt idx="116">
                  <c:v>98.653363688363498</c:v>
                </c:pt>
                <c:pt idx="117">
                  <c:v>98.337832079112857</c:v>
                </c:pt>
                <c:pt idx="118">
                  <c:v>98.853644911449166</c:v>
                </c:pt>
                <c:pt idx="119">
                  <c:v>96.514765021397835</c:v>
                </c:pt>
                <c:pt idx="120">
                  <c:v>93.265115589764378</c:v>
                </c:pt>
                <c:pt idx="121">
                  <c:v>98.528212041116475</c:v>
                </c:pt>
                <c:pt idx="122">
                  <c:v>99.477051051030486</c:v>
                </c:pt>
                <c:pt idx="123">
                  <c:v>96.865095473177533</c:v>
                </c:pt>
                <c:pt idx="124">
                  <c:v>96.822082311249304</c:v>
                </c:pt>
                <c:pt idx="125">
                  <c:v>97.445185445114276</c:v>
                </c:pt>
                <c:pt idx="126">
                  <c:v>96.7157704314847</c:v>
                </c:pt>
                <c:pt idx="127">
                  <c:v>94.744729816802305</c:v>
                </c:pt>
                <c:pt idx="128">
                  <c:v>93.41424740974756</c:v>
                </c:pt>
                <c:pt idx="129">
                  <c:v>92.740766560078882</c:v>
                </c:pt>
                <c:pt idx="130">
                  <c:v>92.950064066379284</c:v>
                </c:pt>
                <c:pt idx="131">
                  <c:v>96.691606573589937</c:v>
                </c:pt>
                <c:pt idx="132">
                  <c:v>90.062057449133604</c:v>
                </c:pt>
                <c:pt idx="133">
                  <c:v>96.040004493642655</c:v>
                </c:pt>
                <c:pt idx="134">
                  <c:v>100.69611660829993</c:v>
                </c:pt>
                <c:pt idx="135">
                  <c:v>99.431864846295497</c:v>
                </c:pt>
                <c:pt idx="136">
                  <c:v>100.07491141322255</c:v>
                </c:pt>
                <c:pt idx="137">
                  <c:v>96.968964693013902</c:v>
                </c:pt>
                <c:pt idx="138">
                  <c:v>96.598562709938406</c:v>
                </c:pt>
                <c:pt idx="139">
                  <c:v>97.172485848553706</c:v>
                </c:pt>
                <c:pt idx="140">
                  <c:v>97.874566537982346</c:v>
                </c:pt>
                <c:pt idx="141">
                  <c:v>95.816668375317477</c:v>
                </c:pt>
                <c:pt idx="142">
                  <c:v>93.7681687178667</c:v>
                </c:pt>
                <c:pt idx="143">
                  <c:v>93.391584224460971</c:v>
                </c:pt>
                <c:pt idx="144">
                  <c:v>91.421894184120291</c:v>
                </c:pt>
                <c:pt idx="145">
                  <c:v>92.080837574267306</c:v>
                </c:pt>
                <c:pt idx="146">
                  <c:v>94.410484687967127</c:v>
                </c:pt>
                <c:pt idx="147">
                  <c:v>91.201610820525744</c:v>
                </c:pt>
                <c:pt idx="148">
                  <c:v>89.638685429473043</c:v>
                </c:pt>
                <c:pt idx="149">
                  <c:v>90.125956654650793</c:v>
                </c:pt>
                <c:pt idx="150">
                  <c:v>90.656866920359093</c:v>
                </c:pt>
                <c:pt idx="151">
                  <c:v>88.297792230845005</c:v>
                </c:pt>
                <c:pt idx="152">
                  <c:v>88.164308608522816</c:v>
                </c:pt>
                <c:pt idx="153">
                  <c:v>86.294496465656309</c:v>
                </c:pt>
                <c:pt idx="154">
                  <c:v>86.778113051292394</c:v>
                </c:pt>
                <c:pt idx="155">
                  <c:v>85.48827994922695</c:v>
                </c:pt>
                <c:pt idx="156">
                  <c:v>89.11041491590143</c:v>
                </c:pt>
                <c:pt idx="157">
                  <c:v>91.190111690047601</c:v>
                </c:pt>
                <c:pt idx="158">
                  <c:v>91.335141315377967</c:v>
                </c:pt>
                <c:pt idx="159">
                  <c:v>91.226156285357277</c:v>
                </c:pt>
                <c:pt idx="160">
                  <c:v>93.174390388597942</c:v>
                </c:pt>
                <c:pt idx="161">
                  <c:v>95.984250151659694</c:v>
                </c:pt>
                <c:pt idx="162">
                  <c:v>96.577393849153253</c:v>
                </c:pt>
                <c:pt idx="163">
                  <c:v>97.706043517036974</c:v>
                </c:pt>
                <c:pt idx="164">
                  <c:v>102.7861865485888</c:v>
                </c:pt>
                <c:pt idx="165">
                  <c:v>102.71292088357431</c:v>
                </c:pt>
                <c:pt idx="166">
                  <c:v>104.54574809405163</c:v>
                </c:pt>
                <c:pt idx="167">
                  <c:v>104.89592525428293</c:v>
                </c:pt>
                <c:pt idx="168">
                  <c:v>112.19354289269606</c:v>
                </c:pt>
                <c:pt idx="169">
                  <c:v>107.79935753329492</c:v>
                </c:pt>
                <c:pt idx="170">
                  <c:v>111.86705901567666</c:v>
                </c:pt>
                <c:pt idx="171">
                  <c:v>109.13554772520646</c:v>
                </c:pt>
                <c:pt idx="172">
                  <c:v>107.87762215721961</c:v>
                </c:pt>
                <c:pt idx="173">
                  <c:v>116.94512065189615</c:v>
                </c:pt>
                <c:pt idx="174">
                  <c:v>116.93089086552708</c:v>
                </c:pt>
                <c:pt idx="175">
                  <c:v>117.44848695267625</c:v>
                </c:pt>
                <c:pt idx="176">
                  <c:v>116.72262012103292</c:v>
                </c:pt>
                <c:pt idx="177">
                  <c:v>113.61788309550462</c:v>
                </c:pt>
                <c:pt idx="178">
                  <c:v>116.25976857159937</c:v>
                </c:pt>
                <c:pt idx="179">
                  <c:v>117.39809094713374</c:v>
                </c:pt>
                <c:pt idx="180">
                  <c:v>117.76263821848261</c:v>
                </c:pt>
                <c:pt idx="181">
                  <c:v>116.26236043040012</c:v>
                </c:pt>
                <c:pt idx="182">
                  <c:v>119.71385971591253</c:v>
                </c:pt>
                <c:pt idx="183">
                  <c:v>119.11328625358244</c:v>
                </c:pt>
                <c:pt idx="184">
                  <c:v>123.56208672206492</c:v>
                </c:pt>
                <c:pt idx="185">
                  <c:v>123.81505775136776</c:v>
                </c:pt>
                <c:pt idx="186">
                  <c:v>120.48757180616607</c:v>
                </c:pt>
                <c:pt idx="187">
                  <c:v>120.34036699844104</c:v>
                </c:pt>
                <c:pt idx="188">
                  <c:v>121.33163008602894</c:v>
                </c:pt>
                <c:pt idx="189">
                  <c:v>120.1765645863085</c:v>
                </c:pt>
                <c:pt idx="190">
                  <c:v>118.96545033317093</c:v>
                </c:pt>
                <c:pt idx="191">
                  <c:v>120.2596551021104</c:v>
                </c:pt>
                <c:pt idx="192">
                  <c:v>113.70258915022447</c:v>
                </c:pt>
                <c:pt idx="193">
                  <c:v>116.54380408778088</c:v>
                </c:pt>
                <c:pt idx="194">
                  <c:v>113.59214839686318</c:v>
                </c:pt>
                <c:pt idx="195">
                  <c:v>116.72879440035575</c:v>
                </c:pt>
                <c:pt idx="196">
                  <c:v>116.48490496241865</c:v>
                </c:pt>
                <c:pt idx="197">
                  <c:v>119.11879134633429</c:v>
                </c:pt>
                <c:pt idx="198">
                  <c:v>120.50702803316607</c:v>
                </c:pt>
                <c:pt idx="199">
                  <c:v>123.5824440786706</c:v>
                </c:pt>
                <c:pt idx="200">
                  <c:v>122.84657631862545</c:v>
                </c:pt>
                <c:pt idx="201">
                  <c:v>121.42965269078697</c:v>
                </c:pt>
                <c:pt idx="202">
                  <c:v>119.40756624215294</c:v>
                </c:pt>
                <c:pt idx="203">
                  <c:v>118.08105420660205</c:v>
                </c:pt>
                <c:pt idx="204">
                  <c:v>116.83248361820091</c:v>
                </c:pt>
                <c:pt idx="205">
                  <c:v>117.23376733999937</c:v>
                </c:pt>
                <c:pt idx="206">
                  <c:v>117.23526043521882</c:v>
                </c:pt>
                <c:pt idx="207">
                  <c:v>118.75999362986371</c:v>
                </c:pt>
                <c:pt idx="208">
                  <c:v>122.68463771359967</c:v>
                </c:pt>
                <c:pt idx="209">
                  <c:v>126.31134417678096</c:v>
                </c:pt>
                <c:pt idx="210">
                  <c:v>127.03569696705918</c:v>
                </c:pt>
                <c:pt idx="211">
                  <c:v>130.0945323012765</c:v>
                </c:pt>
                <c:pt idx="212">
                  <c:v>132.24155793343277</c:v>
                </c:pt>
                <c:pt idx="213">
                  <c:v>128.28678440169489</c:v>
                </c:pt>
                <c:pt idx="214">
                  <c:v>132.81979069186548</c:v>
                </c:pt>
                <c:pt idx="215">
                  <c:v>131.71298140752944</c:v>
                </c:pt>
                <c:pt idx="216">
                  <c:v>136.63716662250712</c:v>
                </c:pt>
                <c:pt idx="217">
                  <c:v>137.79885162246808</c:v>
                </c:pt>
                <c:pt idx="218">
                  <c:v>143.52723987799146</c:v>
                </c:pt>
                <c:pt idx="219">
                  <c:v>148.05278721840659</c:v>
                </c:pt>
                <c:pt idx="220">
                  <c:v>157.78671123218791</c:v>
                </c:pt>
                <c:pt idx="221">
                  <c:v>164.37186187132193</c:v>
                </c:pt>
                <c:pt idx="222">
                  <c:v>168.1842672759914</c:v>
                </c:pt>
                <c:pt idx="223">
                  <c:v>170.42079469631511</c:v>
                </c:pt>
                <c:pt idx="224">
                  <c:v>169.84798495038069</c:v>
                </c:pt>
                <c:pt idx="225">
                  <c:v>160.87034110421607</c:v>
                </c:pt>
                <c:pt idx="226">
                  <c:v>146.04312485825585</c:v>
                </c:pt>
                <c:pt idx="227">
                  <c:v>135.2676320813234</c:v>
                </c:pt>
                <c:pt idx="228">
                  <c:v>126.37798029382081</c:v>
                </c:pt>
                <c:pt idx="229">
                  <c:v>120.43309940636264</c:v>
                </c:pt>
                <c:pt idx="230">
                  <c:v>124.12162349925117</c:v>
                </c:pt>
                <c:pt idx="231">
                  <c:v>127.61356072446321</c:v>
                </c:pt>
                <c:pt idx="232">
                  <c:v>133.38804206689701</c:v>
                </c:pt>
                <c:pt idx="233">
                  <c:v>137.29941443481704</c:v>
                </c:pt>
                <c:pt idx="234">
                  <c:v>139.54392732762503</c:v>
                </c:pt>
                <c:pt idx="235">
                  <c:v>140.01627607727266</c:v>
                </c:pt>
                <c:pt idx="236">
                  <c:v>138.44418900981358</c:v>
                </c:pt>
                <c:pt idx="237">
                  <c:v>134.37270593337431</c:v>
                </c:pt>
                <c:pt idx="238">
                  <c:v>137.5265948049107</c:v>
                </c:pt>
                <c:pt idx="239">
                  <c:v>136.12120273248541</c:v>
                </c:pt>
                <c:pt idx="240">
                  <c:v>140.47513999809976</c:v>
                </c:pt>
                <c:pt idx="241">
                  <c:v>142.01018964888362</c:v>
                </c:pt>
                <c:pt idx="242">
                  <c:v>144.84932738857358</c:v>
                </c:pt>
                <c:pt idx="243">
                  <c:v>150.8316758836981</c:v>
                </c:pt>
                <c:pt idx="244">
                  <c:v>151.70424941662588</c:v>
                </c:pt>
                <c:pt idx="245">
                  <c:v>152.44503849310087</c:v>
                </c:pt>
                <c:pt idx="246">
                  <c:v>151.04659413750872</c:v>
                </c:pt>
                <c:pt idx="247">
                  <c:v>155.50995358963377</c:v>
                </c:pt>
                <c:pt idx="248">
                  <c:v>153.42927684569588</c:v>
                </c:pt>
                <c:pt idx="249">
                  <c:v>157.76809168148947</c:v>
                </c:pt>
                <c:pt idx="250">
                  <c:v>160.780435750604</c:v>
                </c:pt>
                <c:pt idx="251">
                  <c:v>166.07283790312766</c:v>
                </c:pt>
                <c:pt idx="252">
                  <c:v>166.84081064411217</c:v>
                </c:pt>
                <c:pt idx="253">
                  <c:v>170.53123953389152</c:v>
                </c:pt>
                <c:pt idx="254">
                  <c:v>174.53989274300156</c:v>
                </c:pt>
                <c:pt idx="255">
                  <c:v>180.39184201251359</c:v>
                </c:pt>
                <c:pt idx="256">
                  <c:v>180.0089339649812</c:v>
                </c:pt>
                <c:pt idx="257">
                  <c:v>178.05360892439177</c:v>
                </c:pt>
                <c:pt idx="258">
                  <c:v>176.50486810700883</c:v>
                </c:pt>
                <c:pt idx="259">
                  <c:v>178.5603729878639</c:v>
                </c:pt>
                <c:pt idx="260">
                  <c:v>177.30044817939185</c:v>
                </c:pt>
                <c:pt idx="261">
                  <c:v>176.05221019402393</c:v>
                </c:pt>
                <c:pt idx="262">
                  <c:v>181.05089213317947</c:v>
                </c:pt>
                <c:pt idx="263">
                  <c:v>178.81257332861281</c:v>
                </c:pt>
                <c:pt idx="264">
                  <c:v>174.23699396940532</c:v>
                </c:pt>
                <c:pt idx="265">
                  <c:v>178.1191016344184</c:v>
                </c:pt>
                <c:pt idx="266">
                  <c:v>177.99623670651022</c:v>
                </c:pt>
                <c:pt idx="267">
                  <c:v>179.59416292080732</c:v>
                </c:pt>
                <c:pt idx="268">
                  <c:v>175.0030610794702</c:v>
                </c:pt>
                <c:pt idx="269">
                  <c:v>169.51437418998171</c:v>
                </c:pt>
                <c:pt idx="270">
                  <c:v>166.54865428633988</c:v>
                </c:pt>
                <c:pt idx="271">
                  <c:v>170.27371050175537</c:v>
                </c:pt>
              </c:numCache>
            </c:numRef>
          </c:yVal>
          <c:smooth val="0"/>
        </c:ser>
        <c:dLbls>
          <c:showLegendKey val="0"/>
          <c:showVal val="0"/>
          <c:showCatName val="0"/>
          <c:showSerName val="0"/>
          <c:showPercent val="0"/>
          <c:showBubbleSize val="0"/>
        </c:dLbls>
        <c:axId val="79657600"/>
        <c:axId val="79667968"/>
      </c:scatterChart>
      <c:valAx>
        <c:axId val="79657600"/>
        <c:scaling>
          <c:orientation val="minMax"/>
          <c:min val="32900"/>
        </c:scaling>
        <c:delete val="0"/>
        <c:axPos val="b"/>
        <c:title>
          <c:tx>
            <c:rich>
              <a:bodyPr/>
              <a:lstStyle/>
              <a:p>
                <a:pPr>
                  <a:defRPr sz="975" b="0" i="1" u="none" strike="noStrike" baseline="0">
                    <a:solidFill>
                      <a:srgbClr val="000000"/>
                    </a:solidFill>
                    <a:latin typeface="Arial"/>
                    <a:ea typeface="Arial"/>
                    <a:cs typeface="Arial"/>
                  </a:defRPr>
                </a:pPr>
                <a:r>
                  <a:rPr lang="en-US"/>
                  <a:t>Source: FAO</a:t>
                </a:r>
              </a:p>
            </c:rich>
          </c:tx>
          <c:layout>
            <c:manualLayout>
              <c:xMode val="edge"/>
              <c:yMode val="edge"/>
              <c:x val="0.46003262642740622"/>
              <c:y val="0.93810444874274657"/>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667968"/>
        <c:crosses val="autoZero"/>
        <c:crossBetween val="midCat"/>
        <c:majorUnit val="1825"/>
      </c:valAx>
      <c:valAx>
        <c:axId val="79667968"/>
        <c:scaling>
          <c:orientation val="minMax"/>
        </c:scaling>
        <c:delete val="0"/>
        <c:axPos val="l"/>
        <c:majorGridlines>
          <c:spPr>
            <a:ln w="3175">
              <a:solidFill>
                <a:srgbClr val="000000"/>
              </a:solidFill>
              <a:prstDash val="solid"/>
            </a:ln>
          </c:spPr>
        </c:majorGridlines>
        <c:title>
          <c:tx>
            <c:rich>
              <a:bodyPr/>
              <a:lstStyle/>
              <a:p>
                <a:pPr>
                  <a:defRPr sz="1175" b="0" i="0" u="none" strike="noStrike" baseline="0">
                    <a:solidFill>
                      <a:srgbClr val="000000"/>
                    </a:solidFill>
                    <a:latin typeface="Arial"/>
                    <a:ea typeface="Arial"/>
                    <a:cs typeface="Arial"/>
                  </a:defRPr>
                </a:pPr>
                <a:r>
                  <a:rPr lang="en-US" sz="1000"/>
                  <a:t>2002</a:t>
                </a:r>
                <a:r>
                  <a:rPr lang="en-US" sz="1000">
                    <a:latin typeface="Arial" pitchFamily="34" charset="0"/>
                    <a:cs typeface="Arial" pitchFamily="34" charset="0"/>
                  </a:rPr>
                  <a:t>-2004 = </a:t>
                </a:r>
                <a:r>
                  <a:rPr lang="en-US" sz="1000"/>
                  <a:t>100</a:t>
                </a:r>
              </a:p>
            </c:rich>
          </c:tx>
          <c:layout>
            <c:manualLayout>
              <c:xMode val="edge"/>
              <c:yMode val="edge"/>
              <c:x val="1.468189233278956E-2"/>
              <c:y val="0.394584139264990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79657600"/>
        <c:crosses val="autoZero"/>
        <c:crossBetween val="midCat"/>
      </c:valAx>
      <c:spPr>
        <a:solidFill>
          <a:srgbClr val="FFFFFF"/>
        </a:solidFill>
        <a:ln w="12700">
          <a:solidFill>
            <a:srgbClr val="808080"/>
          </a:solidFill>
          <a:prstDash val="solid"/>
        </a:ln>
      </c:spPr>
    </c:plotArea>
    <c:legend>
      <c:legendPos val="l"/>
      <c:layout>
        <c:manualLayout>
          <c:xMode val="edge"/>
          <c:yMode val="edge"/>
          <c:x val="0.17412481287152554"/>
          <c:y val="0.18390609382491324"/>
          <c:w val="0.12939650156515242"/>
          <c:h val="0.22012103950137737"/>
        </c:manualLayout>
      </c:layout>
      <c:overlay val="1"/>
      <c:spPr>
        <a:solidFill>
          <a:sysClr val="window" lastClr="FFFFFF"/>
        </a:solidFill>
        <a:ln>
          <a:solidFill>
            <a:sysClr val="windowText" lastClr="000000"/>
          </a:solidFill>
        </a:ln>
      </c:spPr>
      <c:txPr>
        <a:bodyPr/>
        <a:lstStyle/>
        <a:p>
          <a:pPr>
            <a:defRPr sz="1000">
              <a:latin typeface="Arial" pitchFamily="34" charset="0"/>
              <a:cs typeface="Arial" pitchFamily="34" charset="0"/>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a:t>World Grain Stocks, 1960-2011</a:t>
            </a:r>
          </a:p>
        </c:rich>
      </c:tx>
      <c:layout>
        <c:manualLayout>
          <c:xMode val="edge"/>
          <c:yMode val="edge"/>
          <c:x val="0.29570798196498999"/>
          <c:y val="6.2959610056188706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Stocks!$A$6:$A$57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Stocks!$C$6:$C$57</c:f>
              <c:numCache>
                <c:formatCode>0</c:formatCode>
                <c:ptCount val="52"/>
                <c:pt idx="0">
                  <c:v>203.11</c:v>
                </c:pt>
                <c:pt idx="1">
                  <c:v>181.97900000000001</c:v>
                </c:pt>
                <c:pt idx="2">
                  <c:v>189.79499999999999</c:v>
                </c:pt>
                <c:pt idx="3">
                  <c:v>192.64599999999999</c:v>
                </c:pt>
                <c:pt idx="4">
                  <c:v>193.773</c:v>
                </c:pt>
                <c:pt idx="5">
                  <c:v>159.14099999999999</c:v>
                </c:pt>
                <c:pt idx="6">
                  <c:v>189.47399999999999</c:v>
                </c:pt>
                <c:pt idx="7">
                  <c:v>213.316</c:v>
                </c:pt>
                <c:pt idx="8">
                  <c:v>243.67099999999999</c:v>
                </c:pt>
                <c:pt idx="9">
                  <c:v>227.78100000000001</c:v>
                </c:pt>
                <c:pt idx="10">
                  <c:v>192.88300000000001</c:v>
                </c:pt>
                <c:pt idx="11">
                  <c:v>217.52500000000001</c:v>
                </c:pt>
                <c:pt idx="12">
                  <c:v>180.27699999999999</c:v>
                </c:pt>
                <c:pt idx="13">
                  <c:v>191.78</c:v>
                </c:pt>
                <c:pt idx="14">
                  <c:v>198.93299999999999</c:v>
                </c:pt>
                <c:pt idx="15">
                  <c:v>218.928</c:v>
                </c:pt>
                <c:pt idx="16">
                  <c:v>279.947</c:v>
                </c:pt>
                <c:pt idx="17">
                  <c:v>277.97800000000001</c:v>
                </c:pt>
                <c:pt idx="18">
                  <c:v>333.02199999999999</c:v>
                </c:pt>
                <c:pt idx="19">
                  <c:v>327.733</c:v>
                </c:pt>
                <c:pt idx="20">
                  <c:v>307.85399999999998</c:v>
                </c:pt>
                <c:pt idx="21">
                  <c:v>331.476</c:v>
                </c:pt>
                <c:pt idx="22">
                  <c:v>388.91800000000001</c:v>
                </c:pt>
                <c:pt idx="23">
                  <c:v>347.82</c:v>
                </c:pt>
                <c:pt idx="24">
                  <c:v>427.64699999999999</c:v>
                </c:pt>
                <c:pt idx="25">
                  <c:v>518.33799999999997</c:v>
                </c:pt>
                <c:pt idx="26">
                  <c:v>572.48099999999999</c:v>
                </c:pt>
                <c:pt idx="27">
                  <c:v>528.39800000000002</c:v>
                </c:pt>
                <c:pt idx="28">
                  <c:v>450.96199999999999</c:v>
                </c:pt>
                <c:pt idx="29">
                  <c:v>441.16500000000002</c:v>
                </c:pt>
                <c:pt idx="30">
                  <c:v>495.35199999999998</c:v>
                </c:pt>
                <c:pt idx="31">
                  <c:v>486.17399999999998</c:v>
                </c:pt>
                <c:pt idx="32">
                  <c:v>522.39099999999996</c:v>
                </c:pt>
                <c:pt idx="33">
                  <c:v>485.01100000000002</c:v>
                </c:pt>
                <c:pt idx="34">
                  <c:v>480.13099999999997</c:v>
                </c:pt>
                <c:pt idx="35">
                  <c:v>437.18400000000003</c:v>
                </c:pt>
                <c:pt idx="36">
                  <c:v>486.96699999999998</c:v>
                </c:pt>
                <c:pt idx="37">
                  <c:v>541.35500000000002</c:v>
                </c:pt>
                <c:pt idx="38">
                  <c:v>581.46699999999998</c:v>
                </c:pt>
                <c:pt idx="39">
                  <c:v>586.87099999999998</c:v>
                </c:pt>
                <c:pt idx="40">
                  <c:v>565.83000000000004</c:v>
                </c:pt>
                <c:pt idx="41">
                  <c:v>536.62300000000005</c:v>
                </c:pt>
                <c:pt idx="42">
                  <c:v>444.25900000000001</c:v>
                </c:pt>
                <c:pt idx="43">
                  <c:v>360.423</c:v>
                </c:pt>
                <c:pt idx="44">
                  <c:v>410.04199999999997</c:v>
                </c:pt>
                <c:pt idx="45">
                  <c:v>396.464</c:v>
                </c:pt>
                <c:pt idx="46">
                  <c:v>350.63799999999998</c:v>
                </c:pt>
                <c:pt idx="47">
                  <c:v>373.447</c:v>
                </c:pt>
                <c:pt idx="48">
                  <c:v>455.34399999999999</c:v>
                </c:pt>
                <c:pt idx="49">
                  <c:v>491.30099999999999</c:v>
                </c:pt>
                <c:pt idx="50">
                  <c:v>458.19499999999999</c:v>
                </c:pt>
                <c:pt idx="51">
                  <c:v>464.12700000000001</c:v>
                </c:pt>
              </c:numCache>
            </c:numRef>
          </c:yVal>
          <c:smooth val="0"/>
        </c:ser>
        <c:dLbls>
          <c:showLegendKey val="0"/>
          <c:showVal val="0"/>
          <c:showCatName val="0"/>
          <c:showSerName val="0"/>
          <c:showPercent val="0"/>
          <c:showBubbleSize val="0"/>
        </c:dLbls>
        <c:axId val="58379648"/>
        <c:axId val="58439168"/>
      </c:scatterChart>
      <c:valAx>
        <c:axId val="58379648"/>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 USDA</a:t>
                </a: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8439168"/>
        <c:crosses val="autoZero"/>
        <c:crossBetween val="midCat"/>
        <c:majorUnit val="10"/>
      </c:valAx>
      <c:valAx>
        <c:axId val="58439168"/>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Million Tons</a:t>
                </a:r>
              </a:p>
            </c:rich>
          </c:tx>
          <c:layout>
            <c:manualLayout>
              <c:xMode val="edge"/>
              <c:yMode val="edge"/>
              <c:x val="1.7944535073409498E-2"/>
              <c:y val="0.423597678916827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8379648"/>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Average Grain Yields, 1950-2011</a:t>
            </a:r>
            <a:endParaRPr lang="en-US" sz="1400">
              <a:effectLst/>
            </a:endParaRPr>
          </a:p>
        </c:rich>
      </c:tx>
      <c:layout>
        <c:manualLayout>
          <c:xMode val="edge"/>
          <c:yMode val="edge"/>
          <c:x val="0.26009147964881602"/>
          <c:y val="5.2866599668808197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ProdAreaYield!$A$6:$A$67</c:f>
              <c:numCache>
                <c:formatCode>General</c:formatCode>
                <c:ptCount val="6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numCache>
            </c:numRef>
          </c:xVal>
          <c:yVal>
            <c:numRef>
              <c:f>ProdAreaYield!$D$6:$D$67</c:f>
              <c:numCache>
                <c:formatCode>0.00</c:formatCode>
                <c:ptCount val="62"/>
                <c:pt idx="0">
                  <c:v>1.0749574105621806</c:v>
                </c:pt>
                <c:pt idx="1">
                  <c:v>1.1045531197301854</c:v>
                </c:pt>
                <c:pt idx="2">
                  <c:v>1.1258278145695364</c:v>
                </c:pt>
                <c:pt idx="3">
                  <c:v>1.131621187800963</c:v>
                </c:pt>
                <c:pt idx="4">
                  <c:v>1.1568938193343898</c:v>
                </c:pt>
                <c:pt idx="5">
                  <c:v>1.187793427230047</c:v>
                </c:pt>
                <c:pt idx="6">
                  <c:v>1.2078125</c:v>
                </c:pt>
                <c:pt idx="7">
                  <c:v>1.2217054263565892</c:v>
                </c:pt>
                <c:pt idx="8">
                  <c:v>1.2453416149068324</c:v>
                </c:pt>
                <c:pt idx="9">
                  <c:v>1.2694704049844237</c:v>
                </c:pt>
                <c:pt idx="10">
                  <c:v>1.2898052960965249</c:v>
                </c:pt>
                <c:pt idx="11">
                  <c:v>1.2595715451534946</c:v>
                </c:pt>
                <c:pt idx="12">
                  <c:v>1.3266396485776506</c:v>
                </c:pt>
                <c:pt idx="13">
                  <c:v>1.3230306965925411</c:v>
                </c:pt>
                <c:pt idx="14">
                  <c:v>1.3799539195068502</c:v>
                </c:pt>
                <c:pt idx="15">
                  <c:v>1.3861074676996248</c:v>
                </c:pt>
                <c:pt idx="16">
                  <c:v>1.5095916394441569</c:v>
                </c:pt>
                <c:pt idx="17">
                  <c:v>1.5247262783324289</c:v>
                </c:pt>
                <c:pt idx="18">
                  <c:v>1.5704194563525755</c:v>
                </c:pt>
                <c:pt idx="19">
                  <c:v>1.5825249077449577</c:v>
                </c:pt>
                <c:pt idx="20">
                  <c:v>1.6273757260315302</c:v>
                </c:pt>
                <c:pt idx="21">
                  <c:v>1.7519372000446445</c:v>
                </c:pt>
                <c:pt idx="22">
                  <c:v>1.7258461580362505</c:v>
                </c:pt>
                <c:pt idx="23">
                  <c:v>1.8207506179585062</c:v>
                </c:pt>
                <c:pt idx="24">
                  <c:v>1.7429445747048866</c:v>
                </c:pt>
                <c:pt idx="25">
                  <c:v>1.747987362260657</c:v>
                </c:pt>
                <c:pt idx="26">
                  <c:v>1.8737080973893128</c:v>
                </c:pt>
                <c:pt idx="27">
                  <c:v>1.848453338079429</c:v>
                </c:pt>
                <c:pt idx="28">
                  <c:v>2.0271143741250603</c:v>
                </c:pt>
                <c:pt idx="29">
                  <c:v>1.9840639637775119</c:v>
                </c:pt>
                <c:pt idx="30">
                  <c:v>1.9796362729753314</c:v>
                </c:pt>
                <c:pt idx="31">
                  <c:v>2.0240386585335872</c:v>
                </c:pt>
                <c:pt idx="32">
                  <c:v>2.1367826826310581</c:v>
                </c:pt>
                <c:pt idx="33">
                  <c:v>2.0741985525883035</c:v>
                </c:pt>
                <c:pt idx="34">
                  <c:v>2.2948595521815012</c:v>
                </c:pt>
                <c:pt idx="35">
                  <c:v>2.3007636574510753</c:v>
                </c:pt>
                <c:pt idx="36">
                  <c:v>2.3423167768834685</c:v>
                </c:pt>
                <c:pt idx="37">
                  <c:v>2.3329753376428828</c:v>
                </c:pt>
                <c:pt idx="38">
                  <c:v>2.2498886110413667</c:v>
                </c:pt>
                <c:pt idx="39">
                  <c:v>2.4009531123280201</c:v>
                </c:pt>
                <c:pt idx="40">
                  <c:v>2.5515261395203934</c:v>
                </c:pt>
                <c:pt idx="41">
                  <c:v>2.4712176796283147</c:v>
                </c:pt>
                <c:pt idx="42">
                  <c:v>2.5766773693134675</c:v>
                </c:pt>
                <c:pt idx="43">
                  <c:v>2.5085699622420177</c:v>
                </c:pt>
                <c:pt idx="44">
                  <c:v>2.5757336262021822</c:v>
                </c:pt>
                <c:pt idx="45">
                  <c:v>2.5253257520512506</c:v>
                </c:pt>
                <c:pt idx="46">
                  <c:v>2.6867732902360921</c:v>
                </c:pt>
                <c:pt idx="47">
                  <c:v>2.7328385495067433</c:v>
                </c:pt>
                <c:pt idx="48">
                  <c:v>2.7839522837579653</c:v>
                </c:pt>
                <c:pt idx="49">
                  <c:v>2.8270978622750609</c:v>
                </c:pt>
                <c:pt idx="50">
                  <c:v>2.7849180594968161</c:v>
                </c:pt>
                <c:pt idx="51">
                  <c:v>2.8257614480291053</c:v>
                </c:pt>
                <c:pt idx="52">
                  <c:v>2.800070407487175</c:v>
                </c:pt>
                <c:pt idx="53">
                  <c:v>2.8183338777781808</c:v>
                </c:pt>
                <c:pt idx="54">
                  <c:v>3.0609135839089863</c:v>
                </c:pt>
                <c:pt idx="55">
                  <c:v>2.9972323831975043</c:v>
                </c:pt>
                <c:pt idx="56">
                  <c:v>2.9885451574817234</c:v>
                </c:pt>
                <c:pt idx="57">
                  <c:v>3.0881911522630761</c:v>
                </c:pt>
                <c:pt idx="58">
                  <c:v>3.2287813587584395</c:v>
                </c:pt>
                <c:pt idx="59">
                  <c:v>3.2541706343725689</c:v>
                </c:pt>
                <c:pt idx="60">
                  <c:v>3.2347377750557249</c:v>
                </c:pt>
                <c:pt idx="61">
                  <c:v>3.3315781255421775</c:v>
                </c:pt>
              </c:numCache>
            </c:numRef>
          </c:yVal>
          <c:smooth val="0"/>
        </c:ser>
        <c:dLbls>
          <c:showLegendKey val="0"/>
          <c:showVal val="0"/>
          <c:showCatName val="0"/>
          <c:showSerName val="0"/>
          <c:showPercent val="0"/>
          <c:showBubbleSize val="0"/>
        </c:dLbls>
        <c:axId val="65739008"/>
        <c:axId val="65757568"/>
      </c:scatterChart>
      <c:valAx>
        <c:axId val="65739008"/>
        <c:scaling>
          <c:orientation val="minMax"/>
          <c:min val="1950"/>
        </c:scaling>
        <c:delete val="0"/>
        <c:axPos val="b"/>
        <c:title>
          <c:tx>
            <c:rich>
              <a:bodyPr/>
              <a:lstStyle/>
              <a:p>
                <a:pPr>
                  <a:defRPr sz="1000" b="0" i="1" u="none" strike="noStrike" baseline="0">
                    <a:solidFill>
                      <a:srgbClr val="000000"/>
                    </a:solidFill>
                    <a:latin typeface="Arial"/>
                    <a:ea typeface="Arial"/>
                    <a:cs typeface="Arial"/>
                  </a:defRPr>
                </a:pPr>
                <a:r>
                  <a:rPr lang="en-US"/>
                  <a:t>Source: Worldwatch; USDA</a:t>
                </a:r>
              </a:p>
            </c:rich>
          </c:tx>
          <c:layout>
            <c:manualLayout>
              <c:xMode val="edge"/>
              <c:yMode val="edge"/>
              <c:x val="0.38771071234366505"/>
              <c:y val="0.947130883301096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5757568"/>
        <c:crosses val="autoZero"/>
        <c:crossBetween val="midCat"/>
        <c:majorUnit val="10"/>
      </c:valAx>
      <c:valAx>
        <c:axId val="65757568"/>
        <c:scaling>
          <c:orientation val="minMax"/>
          <c:max val="4"/>
          <c:min val="0"/>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Tons Per</a:t>
                </a:r>
                <a:r>
                  <a:rPr lang="en-US" baseline="0"/>
                  <a:t> Hectare</a:t>
                </a:r>
                <a:endParaRPr lang="en-US"/>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5739008"/>
        <c:crosses val="autoZero"/>
        <c:crossBetween val="midCat"/>
        <c:majorUnit val="1"/>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400" b="0" i="0" u="none" strike="noStrike" baseline="0">
                <a:solidFill>
                  <a:srgbClr val="000000"/>
                </a:solidFill>
                <a:latin typeface="Arial"/>
                <a:ea typeface="Arial"/>
                <a:cs typeface="Arial"/>
              </a:defRPr>
            </a:pPr>
            <a:r>
              <a:rPr lang="en-US" sz="1400" b="0" i="0" baseline="0">
                <a:effectLst/>
              </a:rPr>
              <a:t>World Grain Production Per Person, 1950-2011</a:t>
            </a:r>
            <a:endParaRPr lang="en-US" sz="1400">
              <a:effectLst/>
            </a:endParaRPr>
          </a:p>
        </c:rich>
      </c:tx>
      <c:layout>
        <c:manualLayout>
          <c:xMode val="edge"/>
          <c:yMode val="edge"/>
          <c:x val="0.214800995237859"/>
          <c:y val="5.2837341811719098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ProdPerCap!$A$6:$A$67</c:f>
              <c:numCache>
                <c:formatCode>General</c:formatCode>
                <c:ptCount val="6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numCache>
            </c:numRef>
          </c:xVal>
          <c:yVal>
            <c:numRef>
              <c:f>ProdPerCap!$D$6:$D$67</c:f>
              <c:numCache>
                <c:formatCode>_(* #,##0_);_(* \(#,##0\);_(* "-"??_);_(@_)</c:formatCode>
                <c:ptCount val="62"/>
                <c:pt idx="0">
                  <c:v>249.1875734777542</c:v>
                </c:pt>
                <c:pt idx="1">
                  <c:v>253.78153865228441</c:v>
                </c:pt>
                <c:pt idx="2">
                  <c:v>258.7078001923569</c:v>
                </c:pt>
                <c:pt idx="3">
                  <c:v>263.47595417536513</c:v>
                </c:pt>
                <c:pt idx="4">
                  <c:v>268.01521151540203</c:v>
                </c:pt>
                <c:pt idx="5">
                  <c:v>273.72243030897096</c:v>
                </c:pt>
                <c:pt idx="6">
                  <c:v>273.77242463555149</c:v>
                </c:pt>
                <c:pt idx="7">
                  <c:v>274.02576537691408</c:v>
                </c:pt>
                <c:pt idx="8">
                  <c:v>273.80713803601077</c:v>
                </c:pt>
                <c:pt idx="9">
                  <c:v>273.17504822461359</c:v>
                </c:pt>
                <c:pt idx="10">
                  <c:v>271.04643114678618</c:v>
                </c:pt>
                <c:pt idx="11">
                  <c:v>258.413547392635</c:v>
                </c:pt>
                <c:pt idx="12">
                  <c:v>269.96179976014537</c:v>
                </c:pt>
                <c:pt idx="13">
                  <c:v>267.35702004730359</c:v>
                </c:pt>
                <c:pt idx="14">
                  <c:v>277.21408083952497</c:v>
                </c:pt>
                <c:pt idx="15">
                  <c:v>271.40867090888202</c:v>
                </c:pt>
                <c:pt idx="16">
                  <c:v>290.65435043223363</c:v>
                </c:pt>
                <c:pt idx="17">
                  <c:v>292.11841743340568</c:v>
                </c:pt>
                <c:pt idx="18">
                  <c:v>296.83414405351067</c:v>
                </c:pt>
                <c:pt idx="19">
                  <c:v>293.62308225148399</c:v>
                </c:pt>
                <c:pt idx="20">
                  <c:v>291.84299707861015</c:v>
                </c:pt>
                <c:pt idx="21">
                  <c:v>312.10048228442486</c:v>
                </c:pt>
                <c:pt idx="22">
                  <c:v>296.39174922868915</c:v>
                </c:pt>
                <c:pt idx="23">
                  <c:v>319.251208000269</c:v>
                </c:pt>
                <c:pt idx="24">
                  <c:v>300.81704394460655</c:v>
                </c:pt>
                <c:pt idx="25">
                  <c:v>303.33854297117153</c:v>
                </c:pt>
                <c:pt idx="26">
                  <c:v>323.20416436825076</c:v>
                </c:pt>
                <c:pt idx="27">
                  <c:v>312.12528372896054</c:v>
                </c:pt>
                <c:pt idx="28">
                  <c:v>336.04811829219688</c:v>
                </c:pt>
                <c:pt idx="29">
                  <c:v>322.04468156143452</c:v>
                </c:pt>
                <c:pt idx="30">
                  <c:v>320.96019611017908</c:v>
                </c:pt>
                <c:pt idx="31">
                  <c:v>327.0021463882224</c:v>
                </c:pt>
                <c:pt idx="32">
                  <c:v>332.38337250548557</c:v>
                </c:pt>
                <c:pt idx="33">
                  <c:v>313.03976036285576</c:v>
                </c:pt>
                <c:pt idx="34">
                  <c:v>341.52610767905412</c:v>
                </c:pt>
                <c:pt idx="35">
                  <c:v>338.5582599433717</c:v>
                </c:pt>
                <c:pt idx="36">
                  <c:v>336.12633319940988</c:v>
                </c:pt>
                <c:pt idx="37">
                  <c:v>317.68230757233192</c:v>
                </c:pt>
                <c:pt idx="38">
                  <c:v>302.24212256583155</c:v>
                </c:pt>
                <c:pt idx="39">
                  <c:v>320.53273289098621</c:v>
                </c:pt>
                <c:pt idx="40">
                  <c:v>333.37303363375531</c:v>
                </c:pt>
                <c:pt idx="41">
                  <c:v>316.89177274209851</c:v>
                </c:pt>
                <c:pt idx="42">
                  <c:v>325.95291464471853</c:v>
                </c:pt>
                <c:pt idx="43">
                  <c:v>307.59812030183338</c:v>
                </c:pt>
                <c:pt idx="44">
                  <c:v>311.21412737827967</c:v>
                </c:pt>
                <c:pt idx="45">
                  <c:v>298.14490802776481</c:v>
                </c:pt>
                <c:pt idx="46">
                  <c:v>322.34504268141063</c:v>
                </c:pt>
                <c:pt idx="47">
                  <c:v>319.16816991265881</c:v>
                </c:pt>
                <c:pt idx="48">
                  <c:v>314.55929097044901</c:v>
                </c:pt>
                <c:pt idx="49">
                  <c:v>310.02603669090684</c:v>
                </c:pt>
                <c:pt idx="50">
                  <c:v>301.49883141127299</c:v>
                </c:pt>
                <c:pt idx="51">
                  <c:v>303.16759524148625</c:v>
                </c:pt>
                <c:pt idx="52">
                  <c:v>290.19016614086138</c:v>
                </c:pt>
                <c:pt idx="53">
                  <c:v>293.32480849008908</c:v>
                </c:pt>
                <c:pt idx="54">
                  <c:v>317.7676360447781</c:v>
                </c:pt>
                <c:pt idx="55">
                  <c:v>309.91083121281014</c:v>
                </c:pt>
                <c:pt idx="56">
                  <c:v>304.48853038118864</c:v>
                </c:pt>
                <c:pt idx="57">
                  <c:v>319.07592683299919</c:v>
                </c:pt>
                <c:pt idx="58">
                  <c:v>332.98662682262034</c:v>
                </c:pt>
                <c:pt idx="59">
                  <c:v>328.31495260084097</c:v>
                </c:pt>
                <c:pt idx="60">
                  <c:v>318.61272709000968</c:v>
                </c:pt>
                <c:pt idx="61">
                  <c:v>330.41211717289679</c:v>
                </c:pt>
              </c:numCache>
            </c:numRef>
          </c:yVal>
          <c:smooth val="0"/>
        </c:ser>
        <c:dLbls>
          <c:showLegendKey val="0"/>
          <c:showVal val="0"/>
          <c:showCatName val="0"/>
          <c:showSerName val="0"/>
          <c:showPercent val="0"/>
          <c:showBubbleSize val="0"/>
        </c:dLbls>
        <c:axId val="75342976"/>
        <c:axId val="75344896"/>
      </c:scatterChart>
      <c:valAx>
        <c:axId val="75342976"/>
        <c:scaling>
          <c:orientation val="minMax"/>
          <c:min val="1950"/>
        </c:scaling>
        <c:delete val="0"/>
        <c:axPos val="b"/>
        <c:title>
          <c:tx>
            <c:rich>
              <a:bodyPr/>
              <a:lstStyle/>
              <a:p>
                <a:pPr>
                  <a:defRPr sz="1000" b="0" i="1" u="none" strike="noStrike" baseline="0">
                    <a:solidFill>
                      <a:srgbClr val="000000"/>
                    </a:solidFill>
                    <a:latin typeface="Arial"/>
                    <a:ea typeface="Arial"/>
                    <a:cs typeface="Arial"/>
                  </a:defRPr>
                </a:pPr>
                <a:r>
                  <a:rPr lang="en-US"/>
                  <a:t>Source:</a:t>
                </a:r>
                <a:r>
                  <a:rPr lang="en-US" baseline="0"/>
                  <a:t> Worldwatch; </a:t>
                </a:r>
                <a:r>
                  <a:rPr lang="en-US"/>
                  <a:t>USDA; UNPop</a:t>
                </a:r>
              </a:p>
            </c:rich>
          </c:tx>
          <c:layout>
            <c:manualLayout>
              <c:xMode val="edge"/>
              <c:yMode val="edge"/>
              <c:x val="0.31810766721044048"/>
              <c:y val="0.941972920696324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44896"/>
        <c:crosses val="autoZero"/>
        <c:crossBetween val="midCat"/>
        <c:majorUnit val="10"/>
      </c:valAx>
      <c:valAx>
        <c:axId val="75344896"/>
        <c:scaling>
          <c:orientation val="minMax"/>
          <c:min val="0"/>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Kilograms</a:t>
                </a:r>
              </a:p>
            </c:rich>
          </c:tx>
          <c:layout>
            <c:manualLayout>
              <c:xMode val="edge"/>
              <c:yMode val="edge"/>
              <c:x val="1.7944535073409498E-2"/>
              <c:y val="0.42359767891682798"/>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42976"/>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Grain Balance, 1960-2011</a:t>
            </a:r>
            <a:endParaRPr lang="en-US" sz="1400">
              <a:effectLst/>
            </a:endParaRPr>
          </a:p>
        </c:rich>
      </c:tx>
      <c:layout>
        <c:manualLayout>
          <c:xMode val="edge"/>
          <c:yMode val="edge"/>
          <c:x val="0.30550720119761599"/>
          <c:y val="6.05937871913046E-2"/>
        </c:manualLayout>
      </c:layout>
      <c:overlay val="0"/>
      <c:spPr>
        <a:noFill/>
        <a:ln w="25400">
          <a:noFill/>
        </a:ln>
      </c:spPr>
    </c:title>
    <c:autoTitleDeleted val="0"/>
    <c:plotArea>
      <c:layout>
        <c:manualLayout>
          <c:layoutTarget val="inner"/>
          <c:xMode val="edge"/>
          <c:yMode val="edge"/>
          <c:x val="0.142471436291433"/>
          <c:y val="0.14313346228239801"/>
          <c:w val="0.81511425055217601"/>
          <c:h val="0.72598967912143497"/>
        </c:manualLayout>
      </c:layout>
      <c:scatterChart>
        <c:scatterStyle val="lineMarker"/>
        <c:varyColors val="0"/>
        <c:ser>
          <c:idx val="0"/>
          <c:order val="0"/>
          <c:tx>
            <c:strRef>
              <c:f>Balance!$B$3</c:f>
              <c:strCache>
                <c:ptCount val="1"/>
                <c:pt idx="0">
                  <c:v>Production</c:v>
                </c:pt>
              </c:strCache>
            </c:strRef>
          </c:tx>
          <c:spPr>
            <a:ln w="19050">
              <a:solidFill>
                <a:srgbClr val="000000"/>
              </a:solidFill>
              <a:prstDash val="solid"/>
            </a:ln>
          </c:spPr>
          <c:marker>
            <c:symbol val="none"/>
          </c:marker>
          <c:xVal>
            <c:numRef>
              <c:f>Balance!$A$6:$A$57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Balance!$B$6:$B$57</c:f>
              <c:numCache>
                <c:formatCode>#,##0</c:formatCode>
                <c:ptCount val="52"/>
                <c:pt idx="0">
                  <c:v>823.55100000000004</c:v>
                </c:pt>
                <c:pt idx="1">
                  <c:v>799.50800000000004</c:v>
                </c:pt>
                <c:pt idx="2">
                  <c:v>850.44500000000005</c:v>
                </c:pt>
                <c:pt idx="3">
                  <c:v>857.73800000000006</c:v>
                </c:pt>
                <c:pt idx="4">
                  <c:v>906.18399999999997</c:v>
                </c:pt>
                <c:pt idx="5">
                  <c:v>904.60699999999997</c:v>
                </c:pt>
                <c:pt idx="6">
                  <c:v>988.46400000000006</c:v>
                </c:pt>
                <c:pt idx="7">
                  <c:v>1014.222</c:v>
                </c:pt>
                <c:pt idx="8">
                  <c:v>1052.4590000000001</c:v>
                </c:pt>
                <c:pt idx="9">
                  <c:v>1063.107</c:v>
                </c:pt>
                <c:pt idx="10">
                  <c:v>1078.7059999999999</c:v>
                </c:pt>
                <c:pt idx="11">
                  <c:v>1177.258</c:v>
                </c:pt>
                <c:pt idx="12">
                  <c:v>1140.6099999999999</c:v>
                </c:pt>
                <c:pt idx="13">
                  <c:v>1252.9549999999999</c:v>
                </c:pt>
                <c:pt idx="14">
                  <c:v>1203.498</c:v>
                </c:pt>
                <c:pt idx="15">
                  <c:v>1236.5350000000001</c:v>
                </c:pt>
                <c:pt idx="16">
                  <c:v>1341.7529999999999</c:v>
                </c:pt>
                <c:pt idx="17">
                  <c:v>1318.999</c:v>
                </c:pt>
                <c:pt idx="18">
                  <c:v>1445.1420000000001</c:v>
                </c:pt>
                <c:pt idx="19">
                  <c:v>1409.2349999999999</c:v>
                </c:pt>
                <c:pt idx="20">
                  <c:v>1429.2380000000001</c:v>
                </c:pt>
                <c:pt idx="21">
                  <c:v>1481.9079999999999</c:v>
                </c:pt>
                <c:pt idx="22">
                  <c:v>1532.992</c:v>
                </c:pt>
                <c:pt idx="23">
                  <c:v>1469.4390000000001</c:v>
                </c:pt>
                <c:pt idx="24">
                  <c:v>1631.7529999999999</c:v>
                </c:pt>
                <c:pt idx="25">
                  <c:v>1646.5070000000001</c:v>
                </c:pt>
                <c:pt idx="26">
                  <c:v>1664.0239999999999</c:v>
                </c:pt>
                <c:pt idx="27">
                  <c:v>1600.953</c:v>
                </c:pt>
                <c:pt idx="28">
                  <c:v>1550.2339999999999</c:v>
                </c:pt>
                <c:pt idx="29">
                  <c:v>1672.66</c:v>
                </c:pt>
                <c:pt idx="30">
                  <c:v>1769.019</c:v>
                </c:pt>
                <c:pt idx="31">
                  <c:v>1708.9780000000001</c:v>
                </c:pt>
                <c:pt idx="32">
                  <c:v>1785.5730000000001</c:v>
                </c:pt>
                <c:pt idx="33">
                  <c:v>1710.7819999999999</c:v>
                </c:pt>
                <c:pt idx="34">
                  <c:v>1756.6220000000001</c:v>
                </c:pt>
                <c:pt idx="35">
                  <c:v>1707.249</c:v>
                </c:pt>
                <c:pt idx="36">
                  <c:v>1871.9259999999999</c:v>
                </c:pt>
                <c:pt idx="37">
                  <c:v>1879.0260000000001</c:v>
                </c:pt>
                <c:pt idx="38">
                  <c:v>1876.807</c:v>
                </c:pt>
                <c:pt idx="39">
                  <c:v>1874.086</c:v>
                </c:pt>
                <c:pt idx="40">
                  <c:v>1846.008</c:v>
                </c:pt>
                <c:pt idx="41">
                  <c:v>1879.64</c:v>
                </c:pt>
                <c:pt idx="42">
                  <c:v>1821.443</c:v>
                </c:pt>
                <c:pt idx="43">
                  <c:v>1863.55</c:v>
                </c:pt>
                <c:pt idx="44">
                  <c:v>2043.1690000000001</c:v>
                </c:pt>
                <c:pt idx="45">
                  <c:v>2016.481</c:v>
                </c:pt>
                <c:pt idx="46">
                  <c:v>2004.74</c:v>
                </c:pt>
                <c:pt idx="47">
                  <c:v>2125.5680000000002</c:v>
                </c:pt>
                <c:pt idx="48">
                  <c:v>2244.1999999999998</c:v>
                </c:pt>
                <c:pt idx="49">
                  <c:v>2238.3649999999998</c:v>
                </c:pt>
                <c:pt idx="50">
                  <c:v>2197.1179999999999</c:v>
                </c:pt>
                <c:pt idx="51">
                  <c:v>2304.306</c:v>
                </c:pt>
              </c:numCache>
            </c:numRef>
          </c:yVal>
          <c:smooth val="0"/>
        </c:ser>
        <c:ser>
          <c:idx val="1"/>
          <c:order val="1"/>
          <c:tx>
            <c:strRef>
              <c:f>Balance!$C$3</c:f>
              <c:strCache>
                <c:ptCount val="1"/>
                <c:pt idx="0">
                  <c:v>Consumption</c:v>
                </c:pt>
              </c:strCache>
            </c:strRef>
          </c:tx>
          <c:spPr>
            <a:ln w="19050">
              <a:solidFill>
                <a:sysClr val="windowText" lastClr="000000"/>
              </a:solidFill>
              <a:prstDash val="sysDash"/>
            </a:ln>
          </c:spPr>
          <c:marker>
            <c:symbol val="none"/>
          </c:marker>
          <c:xVal>
            <c:numRef>
              <c:f>Balance!$A$6:$A$57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Balance!$C$6:$C$57</c:f>
              <c:numCache>
                <c:formatCode>_(* #,##0_);_(* \(#,##0\);_(* "-"??_);_(@_)</c:formatCode>
                <c:ptCount val="52"/>
                <c:pt idx="0">
                  <c:v>815.24699999999996</c:v>
                </c:pt>
                <c:pt idx="1">
                  <c:v>816.702</c:v>
                </c:pt>
                <c:pt idx="2">
                  <c:v>837.71600000000001</c:v>
                </c:pt>
                <c:pt idx="3">
                  <c:v>852.07299999999998</c:v>
                </c:pt>
                <c:pt idx="4">
                  <c:v>895.76400000000001</c:v>
                </c:pt>
                <c:pt idx="5">
                  <c:v>931.98500000000001</c:v>
                </c:pt>
                <c:pt idx="6">
                  <c:v>956.524</c:v>
                </c:pt>
                <c:pt idx="7">
                  <c:v>987.53499999999997</c:v>
                </c:pt>
                <c:pt idx="8">
                  <c:v>1019.986</c:v>
                </c:pt>
                <c:pt idx="9">
                  <c:v>1068.7059999999999</c:v>
                </c:pt>
                <c:pt idx="10">
                  <c:v>1107.951</c:v>
                </c:pt>
                <c:pt idx="11">
                  <c:v>1149.9739999999999</c:v>
                </c:pt>
                <c:pt idx="12">
                  <c:v>1173.6210000000001</c:v>
                </c:pt>
                <c:pt idx="13">
                  <c:v>1229.8109999999999</c:v>
                </c:pt>
                <c:pt idx="14">
                  <c:v>1190.4639999999999</c:v>
                </c:pt>
                <c:pt idx="15">
                  <c:v>1211.8340000000001</c:v>
                </c:pt>
                <c:pt idx="16">
                  <c:v>1272.7629999999999</c:v>
                </c:pt>
                <c:pt idx="17">
                  <c:v>1319.4369999999999</c:v>
                </c:pt>
                <c:pt idx="18">
                  <c:v>1380.0640000000001</c:v>
                </c:pt>
                <c:pt idx="19">
                  <c:v>1415.694</c:v>
                </c:pt>
                <c:pt idx="20">
                  <c:v>1439.934</c:v>
                </c:pt>
                <c:pt idx="21">
                  <c:v>1457.8040000000001</c:v>
                </c:pt>
                <c:pt idx="22">
                  <c:v>1474.6369999999999</c:v>
                </c:pt>
                <c:pt idx="23">
                  <c:v>1500.9179999999999</c:v>
                </c:pt>
                <c:pt idx="24">
                  <c:v>1548.9839999999999</c:v>
                </c:pt>
                <c:pt idx="25">
                  <c:v>1552.701</c:v>
                </c:pt>
                <c:pt idx="26">
                  <c:v>1601.375</c:v>
                </c:pt>
                <c:pt idx="27">
                  <c:v>1639.7170000000001</c:v>
                </c:pt>
                <c:pt idx="28">
                  <c:v>1620.4010000000001</c:v>
                </c:pt>
                <c:pt idx="29">
                  <c:v>1676.7260000000001</c:v>
                </c:pt>
                <c:pt idx="30">
                  <c:v>1706.972</c:v>
                </c:pt>
                <c:pt idx="31">
                  <c:v>1713.6079999999999</c:v>
                </c:pt>
                <c:pt idx="32">
                  <c:v>1736.066</c:v>
                </c:pt>
                <c:pt idx="33">
                  <c:v>1739.693</c:v>
                </c:pt>
                <c:pt idx="34">
                  <c:v>1762.289</c:v>
                </c:pt>
                <c:pt idx="35">
                  <c:v>1740.895</c:v>
                </c:pt>
                <c:pt idx="36">
                  <c:v>1808.8820000000001</c:v>
                </c:pt>
                <c:pt idx="37">
                  <c:v>1820.884</c:v>
                </c:pt>
                <c:pt idx="38">
                  <c:v>1835.3130000000001</c:v>
                </c:pt>
                <c:pt idx="39">
                  <c:v>1855.875</c:v>
                </c:pt>
                <c:pt idx="40">
                  <c:v>1861.1849999999999</c:v>
                </c:pt>
                <c:pt idx="41">
                  <c:v>1904.7660000000001</c:v>
                </c:pt>
                <c:pt idx="42">
                  <c:v>1909.4259999999999</c:v>
                </c:pt>
                <c:pt idx="43">
                  <c:v>1935.944</c:v>
                </c:pt>
                <c:pt idx="44">
                  <c:v>1989.5619999999999</c:v>
                </c:pt>
                <c:pt idx="45">
                  <c:v>2020.0309999999999</c:v>
                </c:pt>
                <c:pt idx="46">
                  <c:v>2044.9390000000001</c:v>
                </c:pt>
                <c:pt idx="47">
                  <c:v>2096.8209999999999</c:v>
                </c:pt>
                <c:pt idx="48">
                  <c:v>2151.7449999999999</c:v>
                </c:pt>
                <c:pt idx="49">
                  <c:v>2188.6849999999999</c:v>
                </c:pt>
                <c:pt idx="50">
                  <c:v>2226.9430000000002</c:v>
                </c:pt>
                <c:pt idx="51">
                  <c:v>2284.6329999999998</c:v>
                </c:pt>
              </c:numCache>
            </c:numRef>
          </c:yVal>
          <c:smooth val="0"/>
        </c:ser>
        <c:dLbls>
          <c:showLegendKey val="0"/>
          <c:showVal val="0"/>
          <c:showCatName val="0"/>
          <c:showSerName val="0"/>
          <c:showPercent val="0"/>
          <c:showBubbleSize val="0"/>
        </c:dLbls>
        <c:axId val="79848192"/>
        <c:axId val="79850112"/>
      </c:scatterChart>
      <c:valAx>
        <c:axId val="79848192"/>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 USDA</a:t>
                </a: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850112"/>
        <c:crosses val="autoZero"/>
        <c:crossBetween val="midCat"/>
        <c:majorUnit val="10"/>
      </c:valAx>
      <c:valAx>
        <c:axId val="79850112"/>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Million Tons</a:t>
                </a:r>
              </a:p>
            </c:rich>
          </c:tx>
          <c:layout>
            <c:manualLayout>
              <c:xMode val="edge"/>
              <c:yMode val="edge"/>
              <c:x val="1.7944535073409498E-2"/>
              <c:y val="0.423597678916827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848192"/>
        <c:crosses val="autoZero"/>
        <c:crossBetween val="midCat"/>
      </c:valAx>
      <c:spPr>
        <a:solidFill>
          <a:srgbClr val="FFFFFF"/>
        </a:solidFill>
        <a:ln w="12700">
          <a:solidFill>
            <a:srgbClr val="808080"/>
          </a:solidFill>
          <a:prstDash val="solid"/>
        </a:ln>
      </c:spPr>
    </c:plotArea>
    <c:legend>
      <c:legendPos val="r"/>
      <c:legendEntry>
        <c:idx val="0"/>
        <c:txPr>
          <a:bodyPr/>
          <a:lstStyle/>
          <a:p>
            <a:pPr>
              <a:defRPr sz="1000"/>
            </a:pPr>
            <a:endParaRPr lang="en-US"/>
          </a:p>
        </c:txPr>
      </c:legendEntry>
      <c:legendEntry>
        <c:idx val="1"/>
        <c:txPr>
          <a:bodyPr/>
          <a:lstStyle/>
          <a:p>
            <a:pPr>
              <a:defRPr sz="1000"/>
            </a:pPr>
            <a:endParaRPr lang="en-US"/>
          </a:p>
        </c:txPr>
      </c:legendEntry>
      <c:layout>
        <c:manualLayout>
          <c:xMode val="edge"/>
          <c:yMode val="edge"/>
          <c:x val="0.72125622937636402"/>
          <c:y val="0.75243561214200005"/>
          <c:w val="0.209721038698997"/>
          <c:h val="8.7901483555308205E-2"/>
        </c:manualLayout>
      </c:layout>
      <c:overlay val="0"/>
      <c:spPr>
        <a:ln>
          <a:solidFill>
            <a:srgbClr val="000000"/>
          </a:solidFill>
        </a:ln>
      </c:sp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Grain Area Harvested Per Person, 1950-2011</a:t>
            </a:r>
            <a:endParaRPr lang="en-US" sz="1400">
              <a:effectLst/>
            </a:endParaRPr>
          </a:p>
        </c:rich>
      </c:tx>
      <c:layout>
        <c:manualLayout>
          <c:xMode val="edge"/>
          <c:yMode val="edge"/>
          <c:x val="0.138008753839546"/>
          <c:y val="5.2866599668808197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ysClr val="windowText" lastClr="000000"/>
              </a:solidFill>
              <a:prstDash val="solid"/>
            </a:ln>
          </c:spPr>
          <c:marker>
            <c:symbol val="none"/>
          </c:marker>
          <c:xVal>
            <c:numRef>
              <c:f>AreaPerCap!$A$6:$A$67</c:f>
              <c:numCache>
                <c:formatCode>General</c:formatCode>
                <c:ptCount val="6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numCache>
            </c:numRef>
          </c:xVal>
          <c:yVal>
            <c:numRef>
              <c:f>AreaPerCap!$D$6:$D$67</c:f>
              <c:numCache>
                <c:formatCode>0.00</c:formatCode>
                <c:ptCount val="62"/>
                <c:pt idx="0">
                  <c:v>0.23181157786282364</c:v>
                </c:pt>
                <c:pt idx="1">
                  <c:v>0.22975946934473993</c:v>
                </c:pt>
                <c:pt idx="2">
                  <c:v>0.22979339899438758</c:v>
                </c:pt>
                <c:pt idx="3">
                  <c:v>0.23283052404432972</c:v>
                </c:pt>
                <c:pt idx="4">
                  <c:v>0.23166794310440916</c:v>
                </c:pt>
                <c:pt idx="5">
                  <c:v>0.23044615674233523</c:v>
                </c:pt>
                <c:pt idx="6">
                  <c:v>0.22666798417432468</c:v>
                </c:pt>
                <c:pt idx="7">
                  <c:v>0.22429773942653503</c:v>
                </c:pt>
                <c:pt idx="8">
                  <c:v>0.21986508341046251</c:v>
                </c:pt>
                <c:pt idx="9">
                  <c:v>0.21518819749718027</c:v>
                </c:pt>
                <c:pt idx="10">
                  <c:v>0.21014523042127586</c:v>
                </c:pt>
                <c:pt idx="11">
                  <c:v>0.20515988026797166</c:v>
                </c:pt>
                <c:pt idx="12">
                  <c:v>0.2034929380028582</c:v>
                </c:pt>
                <c:pt idx="13">
                  <c:v>0.20207922668452086</c:v>
                </c:pt>
                <c:pt idx="14">
                  <c:v>0.20088647665756268</c:v>
                </c:pt>
                <c:pt idx="15">
                  <c:v>0.19580636944356852</c:v>
                </c:pt>
                <c:pt idx="16">
                  <c:v>0.19253839438277146</c:v>
                </c:pt>
                <c:pt idx="17">
                  <c:v>0.19158744857004195</c:v>
                </c:pt>
                <c:pt idx="18">
                  <c:v>0.18901583449744799</c:v>
                </c:pt>
                <c:pt idx="19">
                  <c:v>0.18554089153003381</c:v>
                </c:pt>
                <c:pt idx="20">
                  <c:v>0.17933350756698932</c:v>
                </c:pt>
                <c:pt idx="21">
                  <c:v>0.17814593027448219</c:v>
                </c:pt>
                <c:pt idx="22">
                  <c:v>0.17173706233812738</c:v>
                </c:pt>
                <c:pt idx="23">
                  <c:v>0.17534043643946443</c:v>
                </c:pt>
                <c:pt idx="24">
                  <c:v>0.17259128506455265</c:v>
                </c:pt>
                <c:pt idx="25">
                  <c:v>0.17353589020166965</c:v>
                </c:pt>
                <c:pt idx="26">
                  <c:v>0.17249440551523459</c:v>
                </c:pt>
                <c:pt idx="27">
                  <c:v>0.16885754013853735</c:v>
                </c:pt>
                <c:pt idx="28">
                  <c:v>0.16577659483927315</c:v>
                </c:pt>
                <c:pt idx="29">
                  <c:v>0.16231567501900751</c:v>
                </c:pt>
                <c:pt idx="30">
                  <c:v>0.16213089267544384</c:v>
                </c:pt>
                <c:pt idx="31">
                  <c:v>0.16155923949848613</c:v>
                </c:pt>
                <c:pt idx="32">
                  <c:v>0.15555319462633235</c:v>
                </c:pt>
                <c:pt idx="33">
                  <c:v>0.1509208267319572</c:v>
                </c:pt>
                <c:pt idx="34">
                  <c:v>0.1488222263338069</c:v>
                </c:pt>
                <c:pt idx="35">
                  <c:v>0.14715038584990819</c:v>
                </c:pt>
                <c:pt idx="36">
                  <c:v>0.14350165465092954</c:v>
                </c:pt>
                <c:pt idx="37">
                  <c:v>0.13617045257465157</c:v>
                </c:pt>
                <c:pt idx="38">
                  <c:v>0.13433648274077797</c:v>
                </c:pt>
                <c:pt idx="39">
                  <c:v>0.1335022875895274</c:v>
                </c:pt>
                <c:pt idx="40">
                  <c:v>0.13065632699981625</c:v>
                </c:pt>
                <c:pt idx="41">
                  <c:v>0.12823304695269128</c:v>
                </c:pt>
                <c:pt idx="42">
                  <c:v>0.12650125255361938</c:v>
                </c:pt>
                <c:pt idx="43">
                  <c:v>0.12261891234116494</c:v>
                </c:pt>
                <c:pt idx="44">
                  <c:v>0.12082543171871103</c:v>
                </c:pt>
                <c:pt idx="45">
                  <c:v>0.11806196004043842</c:v>
                </c:pt>
                <c:pt idx="46">
                  <c:v>0.11997478308007353</c:v>
                </c:pt>
                <c:pt idx="47">
                  <c:v>0.11678998379551778</c:v>
                </c:pt>
                <c:pt idx="48">
                  <c:v>0.11299018765718059</c:v>
                </c:pt>
                <c:pt idx="49">
                  <c:v>0.10966229391203969</c:v>
                </c:pt>
                <c:pt idx="50">
                  <c:v>0.10826129349951084</c:v>
                </c:pt>
                <c:pt idx="51">
                  <c:v>0.10728704486110732</c:v>
                </c:pt>
                <c:pt idx="52">
                  <c:v>0.10363673904945926</c:v>
                </c:pt>
                <c:pt idx="53">
                  <c:v>0.10407738089616629</c:v>
                </c:pt>
                <c:pt idx="54">
                  <c:v>0.10381463812479413</c:v>
                </c:pt>
                <c:pt idx="55">
                  <c:v>0.10339900000753074</c:v>
                </c:pt>
                <c:pt idx="56">
                  <c:v>0.10188520311259533</c:v>
                </c:pt>
                <c:pt idx="57">
                  <c:v>0.10332130075535488</c:v>
                </c:pt>
                <c:pt idx="58">
                  <c:v>0.10313074495408489</c:v>
                </c:pt>
                <c:pt idx="59">
                  <c:v>0.10089051543056003</c:v>
                </c:pt>
                <c:pt idx="60">
                  <c:v>9.8497235091806148E-2</c:v>
                </c:pt>
                <c:pt idx="61">
                  <c:v>9.9175857423162136E-2</c:v>
                </c:pt>
              </c:numCache>
            </c:numRef>
          </c:yVal>
          <c:smooth val="0"/>
        </c:ser>
        <c:dLbls>
          <c:showLegendKey val="0"/>
          <c:showVal val="0"/>
          <c:showCatName val="0"/>
          <c:showSerName val="0"/>
          <c:showPercent val="0"/>
          <c:showBubbleSize val="0"/>
        </c:dLbls>
        <c:axId val="86565632"/>
        <c:axId val="86567552"/>
      </c:scatterChart>
      <c:valAx>
        <c:axId val="86565632"/>
        <c:scaling>
          <c:orientation val="minMax"/>
          <c:min val="1950"/>
        </c:scaling>
        <c:delete val="0"/>
        <c:axPos val="b"/>
        <c:title>
          <c:tx>
            <c:rich>
              <a:bodyPr/>
              <a:lstStyle/>
              <a:p>
                <a:pPr>
                  <a:defRPr sz="1000" b="0" i="1" u="none" strike="noStrike" baseline="0">
                    <a:solidFill>
                      <a:srgbClr val="000000"/>
                    </a:solidFill>
                    <a:latin typeface="Arial"/>
                    <a:ea typeface="Arial"/>
                    <a:cs typeface="Arial"/>
                  </a:defRPr>
                </a:pPr>
                <a:r>
                  <a:rPr lang="en-US"/>
                  <a:t>Source: Worldwatch; USDA, UNPop</a:t>
                </a:r>
              </a:p>
            </c:rich>
          </c:tx>
          <c:layout>
            <c:manualLayout>
              <c:xMode val="edge"/>
              <c:yMode val="edge"/>
              <c:x val="0.29200652528548127"/>
              <c:y val="0.9316569954867827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67552"/>
        <c:crosses val="autoZero"/>
        <c:crossBetween val="midCat"/>
        <c:majorUnit val="10"/>
      </c:valAx>
      <c:valAx>
        <c:axId val="86567552"/>
        <c:scaling>
          <c:orientation val="minMax"/>
          <c:max val="0.3"/>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Hectares</a:t>
                </a:r>
              </a:p>
            </c:rich>
          </c:tx>
          <c:layout>
            <c:manualLayout>
              <c:xMode val="edge"/>
              <c:yMode val="edge"/>
              <c:x val="1.7944535073409498E-2"/>
              <c:y val="0.4235976789168279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65632"/>
        <c:crosses val="autoZero"/>
        <c:crossBetween val="midCat"/>
        <c:majorUnit val="0.1"/>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Grain Area Harvested, 1950-2011</a:t>
            </a:r>
            <a:endParaRPr lang="en-US" sz="1400">
              <a:effectLst/>
            </a:endParaRPr>
          </a:p>
        </c:rich>
      </c:tx>
      <c:layout>
        <c:manualLayout>
          <c:xMode val="edge"/>
          <c:yMode val="edge"/>
          <c:x val="0.21975020659122341"/>
          <c:y val="5.9826680272316059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AreaPerCap!$A$6:$A$67</c:f>
              <c:numCache>
                <c:formatCode>General</c:formatCode>
                <c:ptCount val="6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numCache>
            </c:numRef>
          </c:xVal>
          <c:yVal>
            <c:numRef>
              <c:f>AreaPerCap!$B$6:$B$67</c:f>
              <c:numCache>
                <c:formatCode>General</c:formatCode>
                <c:ptCount val="62"/>
                <c:pt idx="0">
                  <c:v>587</c:v>
                </c:pt>
                <c:pt idx="1">
                  <c:v>593</c:v>
                </c:pt>
                <c:pt idx="2">
                  <c:v>604</c:v>
                </c:pt>
                <c:pt idx="3">
                  <c:v>623</c:v>
                </c:pt>
                <c:pt idx="4">
                  <c:v>631</c:v>
                </c:pt>
                <c:pt idx="5">
                  <c:v>639</c:v>
                </c:pt>
                <c:pt idx="6">
                  <c:v>640</c:v>
                </c:pt>
                <c:pt idx="7">
                  <c:v>645</c:v>
                </c:pt>
                <c:pt idx="8">
                  <c:v>644</c:v>
                </c:pt>
                <c:pt idx="9">
                  <c:v>642</c:v>
                </c:pt>
                <c:pt idx="10" formatCode="0">
                  <c:v>638.50800000000004</c:v>
                </c:pt>
                <c:pt idx="11" formatCode="0">
                  <c:v>634.74599999999998</c:v>
                </c:pt>
                <c:pt idx="12" formatCode="0">
                  <c:v>641.05200000000002</c:v>
                </c:pt>
                <c:pt idx="13" formatCode="0">
                  <c:v>648.31299999999999</c:v>
                </c:pt>
                <c:pt idx="14" formatCode="0">
                  <c:v>656.67700000000002</c:v>
                </c:pt>
                <c:pt idx="15" formatCode="0">
                  <c:v>652.62400000000002</c:v>
                </c:pt>
                <c:pt idx="16" formatCode="0">
                  <c:v>654.78899999999999</c:v>
                </c:pt>
                <c:pt idx="17" formatCode="0">
                  <c:v>665.18299999999999</c:v>
                </c:pt>
                <c:pt idx="18" formatCode="0">
                  <c:v>670.17700000000002</c:v>
                </c:pt>
                <c:pt idx="19" formatCode="0">
                  <c:v>671.779</c:v>
                </c:pt>
                <c:pt idx="20" formatCode="0">
                  <c:v>662.85</c:v>
                </c:pt>
                <c:pt idx="21" formatCode="0">
                  <c:v>671.97500000000002</c:v>
                </c:pt>
                <c:pt idx="22" formatCode="0">
                  <c:v>660.899</c:v>
                </c:pt>
                <c:pt idx="23" formatCode="0">
                  <c:v>688.15300000000002</c:v>
                </c:pt>
                <c:pt idx="24" formatCode="0">
                  <c:v>690.49699999999996</c:v>
                </c:pt>
                <c:pt idx="25" formatCode="0">
                  <c:v>707.40499999999997</c:v>
                </c:pt>
                <c:pt idx="26" formatCode="0">
                  <c:v>716.09500000000003</c:v>
                </c:pt>
                <c:pt idx="27" formatCode="0">
                  <c:v>713.56899999999996</c:v>
                </c:pt>
                <c:pt idx="28" formatCode="0">
                  <c:v>712.90599999999995</c:v>
                </c:pt>
                <c:pt idx="29" formatCode="0">
                  <c:v>710.27700000000004</c:v>
                </c:pt>
                <c:pt idx="30" formatCode="0">
                  <c:v>721.97</c:v>
                </c:pt>
                <c:pt idx="31" formatCode="0">
                  <c:v>732.154</c:v>
                </c:pt>
                <c:pt idx="32" formatCode="0">
                  <c:v>717.43</c:v>
                </c:pt>
                <c:pt idx="33" formatCode="0">
                  <c:v>708.43700000000001</c:v>
                </c:pt>
                <c:pt idx="34" formatCode="0">
                  <c:v>711.04700000000003</c:v>
                </c:pt>
                <c:pt idx="35" formatCode="0">
                  <c:v>715.63499999999999</c:v>
                </c:pt>
                <c:pt idx="36" formatCode="0">
                  <c:v>710.41800000000001</c:v>
                </c:pt>
                <c:pt idx="37" formatCode="0">
                  <c:v>686.22799999999995</c:v>
                </c:pt>
                <c:pt idx="38" formatCode="0">
                  <c:v>689.02700000000004</c:v>
                </c:pt>
                <c:pt idx="39" formatCode="0">
                  <c:v>696.66499999999996</c:v>
                </c:pt>
                <c:pt idx="40" formatCode="0">
                  <c:v>693.31799999999998</c:v>
                </c:pt>
                <c:pt idx="41" formatCode="0">
                  <c:v>691.553</c:v>
                </c:pt>
                <c:pt idx="42" formatCode="0">
                  <c:v>692.97500000000002</c:v>
                </c:pt>
                <c:pt idx="43" formatCode="0">
                  <c:v>681.97500000000002</c:v>
                </c:pt>
                <c:pt idx="44" formatCode="0">
                  <c:v>681.98900000000003</c:v>
                </c:pt>
                <c:pt idx="45" formatCode="0">
                  <c:v>676.05100000000004</c:v>
                </c:pt>
                <c:pt idx="46" formatCode="0">
                  <c:v>696.71900000000005</c:v>
                </c:pt>
                <c:pt idx="47" formatCode="0">
                  <c:v>687.57299999999998</c:v>
                </c:pt>
                <c:pt idx="48" formatCode="0">
                  <c:v>674.15200000000004</c:v>
                </c:pt>
                <c:pt idx="49" formatCode="0">
                  <c:v>662.90099999999995</c:v>
                </c:pt>
                <c:pt idx="50" formatCode="0">
                  <c:v>662.85900000000004</c:v>
                </c:pt>
                <c:pt idx="51" formatCode="0">
                  <c:v>665.18</c:v>
                </c:pt>
                <c:pt idx="52" formatCode="0">
                  <c:v>650.49900000000002</c:v>
                </c:pt>
                <c:pt idx="53" formatCode="0">
                  <c:v>661.22400000000005</c:v>
                </c:pt>
                <c:pt idx="54" formatCode="0">
                  <c:v>667.50300000000004</c:v>
                </c:pt>
                <c:pt idx="55" formatCode="0">
                  <c:v>672.78099999999995</c:v>
                </c:pt>
                <c:pt idx="56" formatCode="0">
                  <c:v>670.80799999999999</c:v>
                </c:pt>
                <c:pt idx="57" formatCode="0">
                  <c:v>688.28899999999999</c:v>
                </c:pt>
                <c:pt idx="58" formatCode="0">
                  <c:v>695.06100000000004</c:v>
                </c:pt>
                <c:pt idx="59" formatCode="0">
                  <c:v>687.84500000000003</c:v>
                </c:pt>
                <c:pt idx="60" formatCode="0">
                  <c:v>679.226</c:v>
                </c:pt>
                <c:pt idx="61" formatCode="0">
                  <c:v>691.65599999999995</c:v>
                </c:pt>
              </c:numCache>
            </c:numRef>
          </c:yVal>
          <c:smooth val="0"/>
        </c:ser>
        <c:dLbls>
          <c:showLegendKey val="0"/>
          <c:showVal val="0"/>
          <c:showCatName val="0"/>
          <c:showSerName val="0"/>
          <c:showPercent val="0"/>
          <c:showBubbleSize val="0"/>
        </c:dLbls>
        <c:axId val="86588800"/>
        <c:axId val="86611456"/>
      </c:scatterChart>
      <c:valAx>
        <c:axId val="86588800"/>
        <c:scaling>
          <c:orientation val="minMax"/>
          <c:min val="1950"/>
        </c:scaling>
        <c:delete val="0"/>
        <c:axPos val="b"/>
        <c:title>
          <c:tx>
            <c:rich>
              <a:bodyPr/>
              <a:lstStyle/>
              <a:p>
                <a:pPr>
                  <a:defRPr sz="1000" b="0" i="1" u="none" strike="noStrike" baseline="0">
                    <a:solidFill>
                      <a:srgbClr val="000000"/>
                    </a:solidFill>
                    <a:latin typeface="Arial"/>
                    <a:ea typeface="Arial"/>
                    <a:cs typeface="Arial"/>
                  </a:defRPr>
                </a:pPr>
                <a:r>
                  <a:rPr lang="en-US"/>
                  <a:t>Source: Worldwatch; USDA</a:t>
                </a:r>
              </a:p>
            </c:rich>
          </c:tx>
          <c:layout>
            <c:manualLayout>
              <c:xMode val="edge"/>
              <c:yMode val="edge"/>
              <c:x val="0.39641109298531813"/>
              <c:y val="0.93939393939393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11456"/>
        <c:crosses val="autoZero"/>
        <c:crossBetween val="midCat"/>
        <c:majorUnit val="10"/>
      </c:valAx>
      <c:valAx>
        <c:axId val="86611456"/>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Million Hectares</a:t>
                </a:r>
              </a:p>
            </c:rich>
          </c:tx>
          <c:layout>
            <c:manualLayout>
              <c:xMode val="edge"/>
              <c:yMode val="edge"/>
              <c:x val="1.7944535073409498E-2"/>
              <c:y val="0.423597678916827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88800"/>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World Grain Exports, 1960-2011</a:t>
            </a:r>
            <a:endParaRPr lang="en-US" sz="1400">
              <a:effectLst/>
            </a:endParaRPr>
          </a:p>
        </c:rich>
      </c:tx>
      <c:layout>
        <c:manualLayout>
          <c:xMode val="edge"/>
          <c:yMode val="edge"/>
          <c:x val="0.341821068187591"/>
          <c:y val="5.0846416925157102E-2"/>
        </c:manualLayout>
      </c:layout>
      <c:overlay val="0"/>
      <c:spPr>
        <a:noFill/>
        <a:ln w="25400">
          <a:noFill/>
        </a:ln>
      </c:spPr>
    </c:title>
    <c:autoTitleDeleted val="0"/>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spPr>
            <a:ln w="19050">
              <a:solidFill>
                <a:srgbClr val="000000"/>
              </a:solidFill>
              <a:prstDash val="solid"/>
            </a:ln>
          </c:spPr>
          <c:marker>
            <c:symbol val="none"/>
          </c:marker>
          <c:xVal>
            <c:numRef>
              <c:f>ProdConTrade!$A$6:$A$57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ProdConTrade!$E$6:$E$57</c:f>
              <c:numCache>
                <c:formatCode>_(* #,##0_);_(* \(#,##0\);_(* "-"??_);_(@_)</c:formatCode>
                <c:ptCount val="52"/>
                <c:pt idx="0">
                  <c:v>75.816000000000003</c:v>
                </c:pt>
                <c:pt idx="1">
                  <c:v>87.155000000000001</c:v>
                </c:pt>
                <c:pt idx="2">
                  <c:v>86.138000000000005</c:v>
                </c:pt>
                <c:pt idx="3">
                  <c:v>102.407</c:v>
                </c:pt>
                <c:pt idx="4">
                  <c:v>100.60599999999999</c:v>
                </c:pt>
                <c:pt idx="5">
                  <c:v>116.255</c:v>
                </c:pt>
                <c:pt idx="6">
                  <c:v>109.825</c:v>
                </c:pt>
                <c:pt idx="7">
                  <c:v>104.93</c:v>
                </c:pt>
                <c:pt idx="8">
                  <c:v>98.338999999999999</c:v>
                </c:pt>
                <c:pt idx="9">
                  <c:v>111.92700000000001</c:v>
                </c:pt>
                <c:pt idx="10">
                  <c:v>119.226</c:v>
                </c:pt>
                <c:pt idx="11">
                  <c:v>122.65600000000001</c:v>
                </c:pt>
                <c:pt idx="12">
                  <c:v>137.55600000000001</c:v>
                </c:pt>
                <c:pt idx="13">
                  <c:v>143.32900000000001</c:v>
                </c:pt>
                <c:pt idx="14">
                  <c:v>129.584</c:v>
                </c:pt>
                <c:pt idx="15">
                  <c:v>152.28299999999999</c:v>
                </c:pt>
                <c:pt idx="16">
                  <c:v>153.44200000000001</c:v>
                </c:pt>
                <c:pt idx="17">
                  <c:v>160.54400000000001</c:v>
                </c:pt>
                <c:pt idx="18">
                  <c:v>176.739</c:v>
                </c:pt>
                <c:pt idx="19">
                  <c:v>194.09800000000001</c:v>
                </c:pt>
                <c:pt idx="20">
                  <c:v>211.99299999999999</c:v>
                </c:pt>
                <c:pt idx="21">
                  <c:v>210.07</c:v>
                </c:pt>
                <c:pt idx="22">
                  <c:v>195.87200000000001</c:v>
                </c:pt>
                <c:pt idx="23">
                  <c:v>205.63200000000001</c:v>
                </c:pt>
                <c:pt idx="24">
                  <c:v>214.21199999999999</c:v>
                </c:pt>
                <c:pt idx="25">
                  <c:v>175.87100000000001</c:v>
                </c:pt>
                <c:pt idx="26">
                  <c:v>186.958</c:v>
                </c:pt>
                <c:pt idx="27">
                  <c:v>212.898</c:v>
                </c:pt>
                <c:pt idx="28">
                  <c:v>219.41399999999999</c:v>
                </c:pt>
                <c:pt idx="29">
                  <c:v>218.55699999999999</c:v>
                </c:pt>
                <c:pt idx="30">
                  <c:v>205.65600000000001</c:v>
                </c:pt>
                <c:pt idx="31">
                  <c:v>218.37799999999999</c:v>
                </c:pt>
                <c:pt idx="32">
                  <c:v>219.05199999999999</c:v>
                </c:pt>
                <c:pt idx="33">
                  <c:v>207.102</c:v>
                </c:pt>
                <c:pt idx="34">
                  <c:v>212.77500000000001</c:v>
                </c:pt>
                <c:pt idx="35">
                  <c:v>213.548</c:v>
                </c:pt>
                <c:pt idx="36">
                  <c:v>219.51300000000001</c:v>
                </c:pt>
                <c:pt idx="37">
                  <c:v>217.23500000000001</c:v>
                </c:pt>
                <c:pt idx="38">
                  <c:v>220.73400000000001</c:v>
                </c:pt>
                <c:pt idx="39">
                  <c:v>241.16800000000001</c:v>
                </c:pt>
                <c:pt idx="40">
                  <c:v>229.864</c:v>
                </c:pt>
                <c:pt idx="41">
                  <c:v>234.923</c:v>
                </c:pt>
                <c:pt idx="42">
                  <c:v>236.56800000000001</c:v>
                </c:pt>
                <c:pt idx="43">
                  <c:v>239.29599999999999</c:v>
                </c:pt>
                <c:pt idx="44">
                  <c:v>240.67</c:v>
                </c:pt>
                <c:pt idx="45">
                  <c:v>254.238</c:v>
                </c:pt>
                <c:pt idx="46">
                  <c:v>261.113</c:v>
                </c:pt>
                <c:pt idx="47">
                  <c:v>275.971</c:v>
                </c:pt>
                <c:pt idx="48">
                  <c:v>286.55099999999999</c:v>
                </c:pt>
                <c:pt idx="49">
                  <c:v>291.36900000000003</c:v>
                </c:pt>
                <c:pt idx="50">
                  <c:v>283.61700000000002</c:v>
                </c:pt>
                <c:pt idx="51">
                  <c:v>311.01299999999998</c:v>
                </c:pt>
              </c:numCache>
            </c:numRef>
          </c:yVal>
          <c:smooth val="0"/>
        </c:ser>
        <c:dLbls>
          <c:showLegendKey val="0"/>
          <c:showVal val="0"/>
          <c:showCatName val="0"/>
          <c:showSerName val="0"/>
          <c:showPercent val="0"/>
          <c:showBubbleSize val="0"/>
        </c:dLbls>
        <c:axId val="88361216"/>
        <c:axId val="88367488"/>
      </c:scatterChart>
      <c:valAx>
        <c:axId val="88361216"/>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 USDA</a:t>
                </a: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367488"/>
        <c:crossesAt val="0"/>
        <c:crossBetween val="midCat"/>
        <c:majorUnit val="10"/>
      </c:valAx>
      <c:valAx>
        <c:axId val="88367488"/>
        <c:scaling>
          <c:orientation val="minMax"/>
          <c:min val="0"/>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sz="1200" b="0" i="0" baseline="0">
                    <a:effectLst/>
                  </a:rPr>
                  <a:t>Million Tons</a:t>
                </a:r>
                <a:endParaRPr lang="en-US" sz="1200">
                  <a:effectLst/>
                </a:endParaRPr>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361216"/>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192495921697"/>
          <c:y val="0.14313346228239801"/>
          <c:w val="0.84339314845024504"/>
          <c:h val="0.73114119922630605"/>
        </c:manualLayout>
      </c:layout>
      <c:scatterChart>
        <c:scatterStyle val="lineMarker"/>
        <c:varyColors val="0"/>
        <c:ser>
          <c:idx val="0"/>
          <c:order val="0"/>
          <c:tx>
            <c:strRef>
              <c:f>ProdConTrade!$F$3</c:f>
              <c:strCache>
                <c:ptCount val="1"/>
                <c:pt idx="0">
                  <c:v>Imports as a Share of Consumption</c:v>
                </c:pt>
              </c:strCache>
            </c:strRef>
          </c:tx>
          <c:spPr>
            <a:ln w="19050">
              <a:solidFill>
                <a:srgbClr val="000000"/>
              </a:solidFill>
              <a:prstDash val="solid"/>
            </a:ln>
          </c:spPr>
          <c:marker>
            <c:symbol val="none"/>
          </c:marker>
          <c:xVal>
            <c:numRef>
              <c:f>ProdConTrade!$A$6:$A$57</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xVal>
          <c:yVal>
            <c:numRef>
              <c:f>ProdConTrade!$F$6:$F$57</c:f>
              <c:numCache>
                <c:formatCode>0.0</c:formatCode>
                <c:ptCount val="52"/>
                <c:pt idx="0">
                  <c:v>8.7444664009803166</c:v>
                </c:pt>
                <c:pt idx="1">
                  <c:v>10.162703164679405</c:v>
                </c:pt>
                <c:pt idx="2">
                  <c:v>9.6960067612412786</c:v>
                </c:pt>
                <c:pt idx="3">
                  <c:v>11.688317784978517</c:v>
                </c:pt>
                <c:pt idx="4">
                  <c:v>10.19386802773945</c:v>
                </c:pt>
                <c:pt idx="5">
                  <c:v>11.695574499589586</c:v>
                </c:pt>
                <c:pt idx="6">
                  <c:v>11.31367325859048</c:v>
                </c:pt>
                <c:pt idx="7">
                  <c:v>10.337355131716851</c:v>
                </c:pt>
                <c:pt idx="8">
                  <c:v>9.4335608527960186</c:v>
                </c:pt>
                <c:pt idx="9">
                  <c:v>9.5101927003310553</c:v>
                </c:pt>
                <c:pt idx="10">
                  <c:v>10.25072408436835</c:v>
                </c:pt>
                <c:pt idx="11">
                  <c:v>10.43623594968234</c:v>
                </c:pt>
                <c:pt idx="12">
                  <c:v>11.359459314378322</c:v>
                </c:pt>
                <c:pt idx="13">
                  <c:v>10.707986837001783</c:v>
                </c:pt>
                <c:pt idx="14">
                  <c:v>10.391158405462072</c:v>
                </c:pt>
                <c:pt idx="15">
                  <c:v>12.177988074274198</c:v>
                </c:pt>
                <c:pt idx="16">
                  <c:v>11.429464872878926</c:v>
                </c:pt>
                <c:pt idx="17">
                  <c:v>12.051427995425321</c:v>
                </c:pt>
                <c:pt idx="18">
                  <c:v>12.07951225450414</c:v>
                </c:pt>
                <c:pt idx="19">
                  <c:v>13.793588162413631</c:v>
                </c:pt>
                <c:pt idx="20">
                  <c:v>13.993905276214047</c:v>
                </c:pt>
                <c:pt idx="21">
                  <c:v>14.381768742574447</c:v>
                </c:pt>
                <c:pt idx="22">
                  <c:v>13.207385953288844</c:v>
                </c:pt>
                <c:pt idx="23">
                  <c:v>13.059807397872502</c:v>
                </c:pt>
                <c:pt idx="24">
                  <c:v>13.639262897486354</c:v>
                </c:pt>
                <c:pt idx="25">
                  <c:v>11.125580520654008</c:v>
                </c:pt>
                <c:pt idx="26">
                  <c:v>11.143673405667005</c:v>
                </c:pt>
                <c:pt idx="27">
                  <c:v>12.789889962719176</c:v>
                </c:pt>
                <c:pt idx="28">
                  <c:v>13.092129664200405</c:v>
                </c:pt>
                <c:pt idx="29">
                  <c:v>12.692950428394381</c:v>
                </c:pt>
                <c:pt idx="30">
                  <c:v>11.587536292335198</c:v>
                </c:pt>
                <c:pt idx="31">
                  <c:v>12.478349774277433</c:v>
                </c:pt>
                <c:pt idx="32">
                  <c:v>12.01377136583517</c:v>
                </c:pt>
                <c:pt idx="33">
                  <c:v>11.417704158147444</c:v>
                </c:pt>
                <c:pt idx="34">
                  <c:v>12.118443683187037</c:v>
                </c:pt>
                <c:pt idx="35">
                  <c:v>11.732298616516218</c:v>
                </c:pt>
                <c:pt idx="36">
                  <c:v>11.402181015677087</c:v>
                </c:pt>
                <c:pt idx="37">
                  <c:v>11.723426643322693</c:v>
                </c:pt>
                <c:pt idx="38">
                  <c:v>11.951748829763641</c:v>
                </c:pt>
                <c:pt idx="39">
                  <c:v>12.333589277295076</c:v>
                </c:pt>
                <c:pt idx="40">
                  <c:v>12.035343074439135</c:v>
                </c:pt>
                <c:pt idx="41">
                  <c:v>12.119178943765272</c:v>
                </c:pt>
                <c:pt idx="42">
                  <c:v>12.160041813613097</c:v>
                </c:pt>
                <c:pt idx="43">
                  <c:v>11.769658626489198</c:v>
                </c:pt>
                <c:pt idx="44">
                  <c:v>11.896186195755648</c:v>
                </c:pt>
                <c:pt idx="45">
                  <c:v>12.089418429717167</c:v>
                </c:pt>
                <c:pt idx="46">
                  <c:v>12.493575602988646</c:v>
                </c:pt>
                <c:pt idx="47">
                  <c:v>12.878209441816924</c:v>
                </c:pt>
                <c:pt idx="48">
                  <c:v>12.826473397172993</c:v>
                </c:pt>
                <c:pt idx="49">
                  <c:v>12.685516645839853</c:v>
                </c:pt>
                <c:pt idx="50">
                  <c:v>12.588377879451787</c:v>
                </c:pt>
                <c:pt idx="51">
                  <c:v>13.011805397190709</c:v>
                </c:pt>
              </c:numCache>
            </c:numRef>
          </c:yVal>
          <c:smooth val="0"/>
        </c:ser>
        <c:dLbls>
          <c:showLegendKey val="0"/>
          <c:showVal val="0"/>
          <c:showCatName val="0"/>
          <c:showSerName val="0"/>
          <c:showPercent val="0"/>
          <c:showBubbleSize val="0"/>
        </c:dLbls>
        <c:axId val="88462464"/>
        <c:axId val="88464384"/>
      </c:scatterChart>
      <c:valAx>
        <c:axId val="88462464"/>
        <c:scaling>
          <c:orientation val="minMax"/>
          <c:min val="1960"/>
        </c:scaling>
        <c:delete val="0"/>
        <c:axPos val="b"/>
        <c:title>
          <c:tx>
            <c:rich>
              <a:bodyPr/>
              <a:lstStyle/>
              <a:p>
                <a:pPr>
                  <a:defRPr sz="1000" b="0" i="1" u="none" strike="noStrike" baseline="0">
                    <a:solidFill>
                      <a:srgbClr val="000000"/>
                    </a:solidFill>
                    <a:latin typeface="Arial"/>
                    <a:ea typeface="Arial"/>
                    <a:cs typeface="Arial"/>
                  </a:defRPr>
                </a:pPr>
                <a:r>
                  <a:rPr lang="en-US"/>
                  <a:t>Source: USDA</a:t>
                </a:r>
              </a:p>
            </c:rich>
          </c:tx>
          <c:layout>
            <c:manualLayout>
              <c:xMode val="edge"/>
              <c:yMode val="edge"/>
              <c:x val="0.46166394779771602"/>
              <c:y val="0.93423597678916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464384"/>
        <c:crosses val="autoZero"/>
        <c:crossBetween val="midCat"/>
        <c:majorUnit val="10"/>
      </c:valAx>
      <c:valAx>
        <c:axId val="88464384"/>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Percent</a:t>
                </a:r>
              </a:p>
            </c:rich>
          </c:tx>
          <c:layout>
            <c:manualLayout>
              <c:xMode val="edge"/>
              <c:yMode val="edge"/>
              <c:x val="1.7944535073409498E-2"/>
              <c:y val="0.423597678916827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8462464"/>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10.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11.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12.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13.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chartsheets/sheet14.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chartsheets/sheet15.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2.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3.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4.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5.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6.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7.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8.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chartsheets/sheet9.xml><?xml version="1.0" encoding="utf-8"?>
<chartsheet xmlns="http://schemas.openxmlformats.org/spreadsheetml/2006/main" xmlns:r="http://schemas.openxmlformats.org/officeDocument/2006/relationships">
  <sheetPr published="0"/>
  <sheetViews>
    <sheetView workbookViewId="0"/>
  </sheetViews>
  <pageMargins left="1" right="1" top="1" bottom="4.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0.95688</cdr:x>
      <cdr:y>0.24212</cdr:y>
    </cdr:from>
    <cdr:to>
      <cdr:x>0.99765</cdr:x>
      <cdr:y>0.78289</cdr:y>
    </cdr:to>
    <cdr:sp macro="" textlink="">
      <cdr:nvSpPr>
        <cdr:cNvPr id="3"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0.1159</cdr:x>
      <cdr:y>0.0582</cdr:y>
    </cdr:from>
    <cdr:to>
      <cdr:x>0.95988</cdr:x>
      <cdr:y>0.13404</cdr:y>
    </cdr:to>
    <cdr:sp macro="" textlink="">
      <cdr:nvSpPr>
        <cdr:cNvPr id="4" name="TextBox 3"/>
        <cdr:cNvSpPr txBox="1"/>
      </cdr:nvSpPr>
      <cdr:spPr>
        <a:xfrm xmlns:a="http://schemas.openxmlformats.org/drawingml/2006/main">
          <a:off x="675409" y="285750"/>
          <a:ext cx="4918364" cy="3723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400" b="0" i="0" baseline="0">
              <a:effectLst/>
              <a:latin typeface="Arial" pitchFamily="34" charset="0"/>
              <a:ea typeface="+mn-ea"/>
              <a:cs typeface="Arial" pitchFamily="34" charset="0"/>
            </a:rPr>
            <a:t>World Grain Imports as a Share of Consumption, 1960-2011</a:t>
          </a:r>
          <a:endParaRPr lang="en-US" sz="1400">
            <a:effectLst/>
            <a:latin typeface="Arial" pitchFamily="34" charset="0"/>
            <a:cs typeface="Arial" pitchFamily="34"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20.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0.8319</cdr:x>
      <cdr:y>0.22375</cdr:y>
    </cdr:from>
    <cdr:to>
      <cdr:x>0.94921</cdr:x>
      <cdr:y>0.29441</cdr:y>
    </cdr:to>
    <cdr:sp macro="" textlink="">
      <cdr:nvSpPr>
        <cdr:cNvPr id="3" name="TextBox 1"/>
        <cdr:cNvSpPr txBox="1"/>
      </cdr:nvSpPr>
      <cdr:spPr>
        <a:xfrm xmlns:a="http://schemas.openxmlformats.org/drawingml/2006/main">
          <a:off x="4847936" y="1098550"/>
          <a:ext cx="683668" cy="3469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Corn</a:t>
          </a:r>
        </a:p>
      </cdr:txBody>
    </cdr:sp>
  </cdr:relSizeAnchor>
  <cdr:relSizeAnchor xmlns:cdr="http://schemas.openxmlformats.org/drawingml/2006/chartDrawing">
    <cdr:from>
      <cdr:x>0.8319</cdr:x>
      <cdr:y>0.36661</cdr:y>
    </cdr:from>
    <cdr:to>
      <cdr:x>0.94537</cdr:x>
      <cdr:y>0.42588</cdr:y>
    </cdr:to>
    <cdr:sp macro="" textlink="">
      <cdr:nvSpPr>
        <cdr:cNvPr id="4" name="TextBox 1"/>
        <cdr:cNvSpPr txBox="1"/>
      </cdr:nvSpPr>
      <cdr:spPr>
        <a:xfrm xmlns:a="http://schemas.openxmlformats.org/drawingml/2006/main">
          <a:off x="4847936" y="1799937"/>
          <a:ext cx="661247" cy="2909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Wheat</a:t>
          </a:r>
        </a:p>
      </cdr:txBody>
    </cdr:sp>
  </cdr:relSizeAnchor>
  <cdr:relSizeAnchor xmlns:cdr="http://schemas.openxmlformats.org/drawingml/2006/chartDrawing">
    <cdr:from>
      <cdr:x>0.8319</cdr:x>
      <cdr:y>0.50946</cdr:y>
    </cdr:from>
    <cdr:to>
      <cdr:x>0.97036</cdr:x>
      <cdr:y>0.55277</cdr:y>
    </cdr:to>
    <cdr:sp macro="" textlink="">
      <cdr:nvSpPr>
        <cdr:cNvPr id="5" name="TextBox 1"/>
        <cdr:cNvSpPr txBox="1"/>
      </cdr:nvSpPr>
      <cdr:spPr>
        <a:xfrm xmlns:a="http://schemas.openxmlformats.org/drawingml/2006/main">
          <a:off x="4847936" y="2501322"/>
          <a:ext cx="806926" cy="2126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Rice</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0.79192</cdr:x>
      <cdr:y>0.40614</cdr:y>
    </cdr:from>
    <cdr:to>
      <cdr:x>0.95538</cdr:x>
      <cdr:y>0.45856</cdr:y>
    </cdr:to>
    <cdr:sp macro="" textlink="">
      <cdr:nvSpPr>
        <cdr:cNvPr id="3" name="TextBox 1"/>
        <cdr:cNvSpPr txBox="1"/>
      </cdr:nvSpPr>
      <cdr:spPr>
        <a:xfrm xmlns:a="http://schemas.openxmlformats.org/drawingml/2006/main">
          <a:off x="4623902" y="2000023"/>
          <a:ext cx="954415" cy="2581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Corn</a:t>
          </a:r>
        </a:p>
      </cdr:txBody>
    </cdr:sp>
  </cdr:relSizeAnchor>
  <cdr:relSizeAnchor xmlns:cdr="http://schemas.openxmlformats.org/drawingml/2006/chartDrawing">
    <cdr:from>
      <cdr:x>0.79974</cdr:x>
      <cdr:y>0.51754</cdr:y>
    </cdr:from>
    <cdr:to>
      <cdr:x>0.92281</cdr:x>
      <cdr:y>0.55857</cdr:y>
    </cdr:to>
    <cdr:sp macro="" textlink="">
      <cdr:nvSpPr>
        <cdr:cNvPr id="4" name="TextBox 2"/>
        <cdr:cNvSpPr txBox="1"/>
      </cdr:nvSpPr>
      <cdr:spPr>
        <a:xfrm xmlns:a="http://schemas.openxmlformats.org/drawingml/2006/main">
          <a:off x="4669570" y="2548595"/>
          <a:ext cx="718584" cy="2020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Rice</a:t>
          </a:r>
        </a:p>
      </cdr:txBody>
    </cdr:sp>
  </cdr:relSizeAnchor>
  <cdr:relSizeAnchor xmlns:cdr="http://schemas.openxmlformats.org/drawingml/2006/chartDrawing">
    <cdr:from>
      <cdr:x>0.81181</cdr:x>
      <cdr:y>0.27387</cdr:y>
    </cdr:from>
    <cdr:to>
      <cdr:x>0.98105</cdr:x>
      <cdr:y>0.31491</cdr:y>
    </cdr:to>
    <cdr:sp macro="" textlink="">
      <cdr:nvSpPr>
        <cdr:cNvPr id="5" name="TextBox 3"/>
        <cdr:cNvSpPr txBox="1"/>
      </cdr:nvSpPr>
      <cdr:spPr>
        <a:xfrm xmlns:a="http://schemas.openxmlformats.org/drawingml/2006/main">
          <a:off x="4740038" y="1348668"/>
          <a:ext cx="988162" cy="202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Wheat</a:t>
          </a: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0.95688</cdr:x>
      <cdr:y>0.24212</cdr:y>
    </cdr:from>
    <cdr:to>
      <cdr:x>0.99765</cdr:x>
      <cdr:y>0.78289</cdr:y>
    </cdr:to>
    <cdr:sp macro="" textlink="">
      <cdr:nvSpPr>
        <cdr:cNvPr id="3"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dr:relSizeAnchor xmlns:cdr="http://schemas.openxmlformats.org/drawingml/2006/chartDrawing">
    <cdr:from>
      <cdr:x>0.78174</cdr:x>
      <cdr:y>0.18052</cdr:y>
    </cdr:from>
    <cdr:to>
      <cdr:x>0.92766</cdr:x>
      <cdr:y>0.23961</cdr:y>
    </cdr:to>
    <cdr:sp macro="" textlink="">
      <cdr:nvSpPr>
        <cdr:cNvPr id="4" name="TextBox 1"/>
        <cdr:cNvSpPr txBox="1"/>
      </cdr:nvSpPr>
      <cdr:spPr>
        <a:xfrm xmlns:a="http://schemas.openxmlformats.org/drawingml/2006/main">
          <a:off x="4562692" y="889000"/>
          <a:ext cx="851710" cy="2909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Corn</a:t>
          </a:r>
        </a:p>
      </cdr:txBody>
    </cdr:sp>
  </cdr:relSizeAnchor>
  <cdr:relSizeAnchor xmlns:cdr="http://schemas.openxmlformats.org/drawingml/2006/chartDrawing">
    <cdr:from>
      <cdr:x>0.78817</cdr:x>
      <cdr:y>0.42664</cdr:y>
    </cdr:from>
    <cdr:to>
      <cdr:x>0.9245</cdr:x>
      <cdr:y>0.47891</cdr:y>
    </cdr:to>
    <cdr:sp macro="" textlink="">
      <cdr:nvSpPr>
        <cdr:cNvPr id="5" name="TextBox 2"/>
        <cdr:cNvSpPr txBox="1"/>
      </cdr:nvSpPr>
      <cdr:spPr>
        <a:xfrm xmlns:a="http://schemas.openxmlformats.org/drawingml/2006/main">
          <a:off x="4600236" y="2101048"/>
          <a:ext cx="795715" cy="257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Wheat</a:t>
          </a:r>
        </a:p>
      </cdr:txBody>
    </cdr:sp>
  </cdr:relSizeAnchor>
  <cdr:relSizeAnchor xmlns:cdr="http://schemas.openxmlformats.org/drawingml/2006/chartDrawing">
    <cdr:from>
      <cdr:x>0.78551</cdr:x>
      <cdr:y>0.52813</cdr:y>
    </cdr:from>
    <cdr:to>
      <cdr:x>0.9585</cdr:x>
      <cdr:y>0.59404</cdr:y>
    </cdr:to>
    <cdr:sp macro="" textlink="">
      <cdr:nvSpPr>
        <cdr:cNvPr id="6" name="TextBox 3"/>
        <cdr:cNvSpPr txBox="1"/>
      </cdr:nvSpPr>
      <cdr:spPr>
        <a:xfrm xmlns:a="http://schemas.openxmlformats.org/drawingml/2006/main">
          <a:off x="4584700" y="2600847"/>
          <a:ext cx="1009650" cy="3245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itchFamily="34" charset="0"/>
              <a:cs typeface="Arial" pitchFamily="34" charset="0"/>
            </a:rPr>
            <a:t>Rice</a:t>
          </a: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0.95421</cdr:x>
      <cdr:y>0.12221</cdr:y>
    </cdr:from>
    <cdr:to>
      <cdr:x>0.98621</cdr:x>
      <cdr:y>0.85096</cdr:y>
    </cdr:to>
    <cdr:sp macro="" textlink="">
      <cdr:nvSpPr>
        <cdr:cNvPr id="1039" name="Text Box 15"/>
        <cdr:cNvSpPr txBox="1">
          <a:spLocks xmlns:a="http://schemas.openxmlformats.org/drawingml/2006/main" noChangeArrowheads="1"/>
        </cdr:cNvSpPr>
      </cdr:nvSpPr>
      <cdr:spPr bwMode="auto">
        <a:xfrm xmlns:a="http://schemas.openxmlformats.org/drawingml/2006/main">
          <a:off x="5571457" y="819699"/>
          <a:ext cx="170786" cy="36305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0.95421</cdr:x>
      <cdr:y>0.12221</cdr:y>
    </cdr:from>
    <cdr:to>
      <cdr:x>0.98621</cdr:x>
      <cdr:y>0.85096</cdr:y>
    </cdr:to>
    <cdr:sp macro="" textlink="">
      <cdr:nvSpPr>
        <cdr:cNvPr id="1039" name="Text Box 15"/>
        <cdr:cNvSpPr txBox="1">
          <a:spLocks xmlns:a="http://schemas.openxmlformats.org/drawingml/2006/main" noChangeArrowheads="1"/>
        </cdr:cNvSpPr>
      </cdr:nvSpPr>
      <cdr:spPr bwMode="auto">
        <a:xfrm xmlns:a="http://schemas.openxmlformats.org/drawingml/2006/main">
          <a:off x="5571457" y="819699"/>
          <a:ext cx="170786" cy="36305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0.95421</cdr:x>
      <cdr:y>0.12221</cdr:y>
    </cdr:from>
    <cdr:to>
      <cdr:x>0.98621</cdr:x>
      <cdr:y>0.85096</cdr:y>
    </cdr:to>
    <cdr:sp macro="" textlink="">
      <cdr:nvSpPr>
        <cdr:cNvPr id="1039" name="Text Box 15"/>
        <cdr:cNvSpPr txBox="1">
          <a:spLocks xmlns:a="http://schemas.openxmlformats.org/drawingml/2006/main" noChangeArrowheads="1"/>
        </cdr:cNvSpPr>
      </cdr:nvSpPr>
      <cdr:spPr bwMode="auto">
        <a:xfrm xmlns:a="http://schemas.openxmlformats.org/drawingml/2006/main">
          <a:off x="5571457" y="819699"/>
          <a:ext cx="170786" cy="36305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4.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0.95688</cdr:x>
      <cdr:y>0.24212</cdr:y>
    </cdr:from>
    <cdr:to>
      <cdr:x>0.99765</cdr:x>
      <cdr:y>0.78289</cdr:y>
    </cdr:to>
    <cdr:sp macro="" textlink="">
      <cdr:nvSpPr>
        <cdr:cNvPr id="2" name="Text Box 5"/>
        <cdr:cNvSpPr txBox="1">
          <a:spLocks xmlns:a="http://schemas.openxmlformats.org/drawingml/2006/main" noChangeArrowheads="1"/>
        </cdr:cNvSpPr>
      </cdr:nvSpPr>
      <cdr:spPr bwMode="auto">
        <a:xfrm xmlns:a="http://schemas.openxmlformats.org/drawingml/2006/main">
          <a:off x="5586506" y="1193800"/>
          <a:ext cx="238049" cy="26663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OLAR"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ata\Energy\BP%20Statistical%20Review%20of%20World%20Energy\Copy%20of%20Statistical_Review_of_World_Energy_201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Publications\Indicators\02-Economy\2006%20Econ%20Indicator\2006%20Econ%20Indicator%2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pments"/>
      <sheetName val="DATA"/>
      <sheetName val="PVs"/>
      <sheetName val="PV PRICES"/>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Trade movements"/>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Carbon Dioxide Emissions"/>
      <sheetName val="Approximate conversion factors"/>
      <sheetName val="Definitions"/>
      <sheetName val="Geothermal"/>
      <sheetName val="Solar"/>
      <sheetName val="Wind"/>
      <sheetName val="Ethan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WP Data"/>
      <sheetName val="GWP_GR"/>
      <sheetName val="Per Capita GWP_GR"/>
      <sheetName val="20 Largest Economies"/>
      <sheetName val="Per Capita GDP_richest"/>
      <sheetName val="Per Capita GDP_poorest"/>
      <sheetName val="GWP Data_worksheet"/>
      <sheetName val="Countries ranked by GDP_wksht"/>
      <sheetName val="Per Capita GDP_all_worksheet"/>
      <sheetName val="ESM Worksheet"/>
      <sheetName val="VS2001_EconData1999Dollars_data"/>
      <sheetName val="NIPATable_ORIG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arth-policy.org/books/fpep/fpep_dat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E57"/>
  <sheetViews>
    <sheetView showGridLines="0" tabSelected="1" zoomScaleNormal="100" workbookViewId="0"/>
  </sheetViews>
  <sheetFormatPr defaultColWidth="8.85546875" defaultRowHeight="15" x14ac:dyDescent="0.25"/>
  <cols>
    <col min="1" max="1" width="96.5703125" style="27" bestFit="1" customWidth="1"/>
    <col min="2" max="5" width="8.85546875" style="184"/>
    <col min="6" max="16384" width="8.85546875" style="27"/>
  </cols>
  <sheetData>
    <row r="1" spans="1:1" ht="12.75" customHeight="1" x14ac:dyDescent="0.25">
      <c r="A1" s="136" t="s">
        <v>162</v>
      </c>
    </row>
    <row r="2" spans="1:1" ht="12.75" customHeight="1" x14ac:dyDescent="0.25">
      <c r="A2" s="136" t="s">
        <v>163</v>
      </c>
    </row>
    <row r="3" spans="1:1" ht="12.75" customHeight="1" x14ac:dyDescent="0.25">
      <c r="A3" s="137"/>
    </row>
    <row r="4" spans="1:1" ht="12.75" customHeight="1" x14ac:dyDescent="0.25">
      <c r="A4" s="158" t="s">
        <v>56</v>
      </c>
    </row>
    <row r="5" spans="1:1" ht="12.75" customHeight="1" x14ac:dyDescent="0.25">
      <c r="A5" s="20" t="s">
        <v>134</v>
      </c>
    </row>
    <row r="6" spans="1:1" ht="12.75" customHeight="1" x14ac:dyDescent="0.25">
      <c r="A6" s="20" t="s">
        <v>135</v>
      </c>
    </row>
    <row r="7" spans="1:1" ht="12.75" customHeight="1" x14ac:dyDescent="0.25">
      <c r="A7" s="20"/>
    </row>
    <row r="8" spans="1:1" ht="12.75" customHeight="1" x14ac:dyDescent="0.25">
      <c r="A8" s="158" t="s">
        <v>58</v>
      </c>
    </row>
    <row r="9" spans="1:1" ht="12.75" customHeight="1" x14ac:dyDescent="0.25">
      <c r="A9" s="225" t="s">
        <v>199</v>
      </c>
    </row>
    <row r="10" spans="1:1" ht="12.75" customHeight="1" x14ac:dyDescent="0.25">
      <c r="A10" s="20"/>
    </row>
    <row r="11" spans="1:1" ht="12.75" customHeight="1" x14ac:dyDescent="0.25">
      <c r="A11" s="158" t="s">
        <v>63</v>
      </c>
    </row>
    <row r="12" spans="1:1" ht="12.75" customHeight="1" x14ac:dyDescent="0.25">
      <c r="A12" s="20" t="s">
        <v>136</v>
      </c>
    </row>
    <row r="13" spans="1:1" ht="12.75" customHeight="1" x14ac:dyDescent="0.25">
      <c r="A13" s="20"/>
    </row>
    <row r="14" spans="1:1" ht="12.75" customHeight="1" x14ac:dyDescent="0.25">
      <c r="A14" s="158" t="s">
        <v>68</v>
      </c>
    </row>
    <row r="15" spans="1:1" ht="12.75" customHeight="1" x14ac:dyDescent="0.25">
      <c r="A15" s="20" t="s">
        <v>137</v>
      </c>
    </row>
    <row r="16" spans="1:1" ht="12.75" customHeight="1" x14ac:dyDescent="0.25">
      <c r="A16" s="20"/>
    </row>
    <row r="17" spans="1:1" ht="12.75" customHeight="1" x14ac:dyDescent="0.25">
      <c r="A17" s="158" t="s">
        <v>70</v>
      </c>
    </row>
    <row r="18" spans="1:1" ht="12.75" customHeight="1" x14ac:dyDescent="0.25">
      <c r="A18" s="20" t="s">
        <v>138</v>
      </c>
    </row>
    <row r="19" spans="1:1" ht="12.75" customHeight="1" x14ac:dyDescent="0.25">
      <c r="A19" s="20" t="s">
        <v>176</v>
      </c>
    </row>
    <row r="20" spans="1:1" ht="12.75" customHeight="1" x14ac:dyDescent="0.25">
      <c r="A20" s="20"/>
    </row>
    <row r="21" spans="1:1" ht="12.75" customHeight="1" x14ac:dyDescent="0.25">
      <c r="A21" s="158" t="s">
        <v>73</v>
      </c>
    </row>
    <row r="22" spans="1:1" ht="12.75" customHeight="1" x14ac:dyDescent="0.25">
      <c r="A22" s="46" t="s">
        <v>139</v>
      </c>
    </row>
    <row r="23" spans="1:1" ht="12.75" customHeight="1" x14ac:dyDescent="0.25">
      <c r="A23" s="138" t="s">
        <v>140</v>
      </c>
    </row>
    <row r="24" spans="1:1" ht="12.75" customHeight="1" x14ac:dyDescent="0.25">
      <c r="A24" s="46"/>
    </row>
    <row r="25" spans="1:1" ht="12.75" customHeight="1" x14ac:dyDescent="0.25">
      <c r="A25" s="157" t="s">
        <v>78</v>
      </c>
    </row>
    <row r="26" spans="1:1" ht="12.75" customHeight="1" x14ac:dyDescent="0.25">
      <c r="A26" s="46" t="s">
        <v>141</v>
      </c>
    </row>
    <row r="27" spans="1:1" ht="12.75" customHeight="1" x14ac:dyDescent="0.25">
      <c r="A27" s="46"/>
    </row>
    <row r="28" spans="1:1" ht="12.75" customHeight="1" x14ac:dyDescent="0.25">
      <c r="A28" s="157" t="s">
        <v>0</v>
      </c>
    </row>
    <row r="29" spans="1:1" ht="12.75" customHeight="1" x14ac:dyDescent="0.25">
      <c r="A29" s="46" t="s">
        <v>142</v>
      </c>
    </row>
    <row r="30" spans="1:1" ht="12.75" customHeight="1" x14ac:dyDescent="0.25">
      <c r="A30" s="46"/>
    </row>
    <row r="31" spans="1:1" ht="12.75" customHeight="1" x14ac:dyDescent="0.25">
      <c r="A31" s="157" t="s">
        <v>1</v>
      </c>
    </row>
    <row r="32" spans="1:1" ht="12.75" customHeight="1" x14ac:dyDescent="0.25">
      <c r="A32" s="46" t="s">
        <v>143</v>
      </c>
    </row>
    <row r="33" spans="1:1" ht="12.75" customHeight="1" x14ac:dyDescent="0.25">
      <c r="A33" s="46"/>
    </row>
    <row r="34" spans="1:1" ht="12.75" customHeight="1" x14ac:dyDescent="0.25">
      <c r="A34" s="158" t="s">
        <v>128</v>
      </c>
    </row>
    <row r="35" spans="1:1" ht="12.75" customHeight="1" x14ac:dyDescent="0.25">
      <c r="A35" s="46"/>
    </row>
    <row r="36" spans="1:1" ht="12.75" customHeight="1" x14ac:dyDescent="0.25">
      <c r="A36" s="162" t="s">
        <v>165</v>
      </c>
    </row>
    <row r="37" spans="1:1" ht="12.75" customHeight="1" x14ac:dyDescent="0.25">
      <c r="A37" s="46"/>
    </row>
    <row r="38" spans="1:1" ht="12.75" customHeight="1" x14ac:dyDescent="0.25">
      <c r="A38" s="158" t="s">
        <v>166</v>
      </c>
    </row>
    <row r="39" spans="1:1" ht="12.75" customHeight="1" x14ac:dyDescent="0.25">
      <c r="A39" s="46"/>
    </row>
    <row r="40" spans="1:1" ht="12.75" customHeight="1" x14ac:dyDescent="0.25">
      <c r="A40" s="158" t="s">
        <v>34</v>
      </c>
    </row>
    <row r="41" spans="1:1" ht="12.75" customHeight="1" x14ac:dyDescent="0.25">
      <c r="A41" s="160"/>
    </row>
    <row r="42" spans="1:1" ht="12.75" customHeight="1" x14ac:dyDescent="0.25">
      <c r="A42" s="161" t="s">
        <v>178</v>
      </c>
    </row>
    <row r="43" spans="1:1" ht="12.75" customHeight="1" x14ac:dyDescent="0.25">
      <c r="A43" s="161"/>
    </row>
    <row r="44" spans="1:1" ht="12.75" customHeight="1" x14ac:dyDescent="0.2">
      <c r="A44" s="223" t="s">
        <v>187</v>
      </c>
    </row>
    <row r="45" spans="1:1" ht="12.75" customHeight="1" x14ac:dyDescent="0.2">
      <c r="A45" s="224" t="s">
        <v>197</v>
      </c>
    </row>
    <row r="46" spans="1:1" ht="12.75" customHeight="1" x14ac:dyDescent="0.2">
      <c r="A46" s="224" t="s">
        <v>204</v>
      </c>
    </row>
    <row r="47" spans="1:1" ht="12.75" customHeight="1" x14ac:dyDescent="0.2">
      <c r="A47" s="224" t="s">
        <v>205</v>
      </c>
    </row>
    <row r="48" spans="1:1" ht="12.75" customHeight="1" x14ac:dyDescent="0.25">
      <c r="A48" s="46"/>
    </row>
    <row r="49" spans="1:1" ht="12.75" customHeight="1" x14ac:dyDescent="0.25">
      <c r="A49" s="159" t="s">
        <v>114</v>
      </c>
    </row>
    <row r="50" spans="1:1" ht="12.75" customHeight="1" x14ac:dyDescent="0.25">
      <c r="A50" s="46"/>
    </row>
    <row r="51" spans="1:1" ht="12.75" customHeight="1" x14ac:dyDescent="0.25">
      <c r="A51" s="161" t="s">
        <v>175</v>
      </c>
    </row>
    <row r="52" spans="1:1" ht="12.75" customHeight="1" x14ac:dyDescent="0.25">
      <c r="A52" s="161"/>
    </row>
    <row r="53" spans="1:1" ht="12.75" customHeight="1" x14ac:dyDescent="0.2">
      <c r="A53" s="204"/>
    </row>
    <row r="54" spans="1:1" ht="12.75" customHeight="1" x14ac:dyDescent="0.2">
      <c r="A54" s="154" t="s">
        <v>116</v>
      </c>
    </row>
    <row r="55" spans="1:1" ht="12.75" customHeight="1" x14ac:dyDescent="0.2">
      <c r="A55" s="155" t="s">
        <v>117</v>
      </c>
    </row>
    <row r="56" spans="1:1" ht="12.75" customHeight="1" x14ac:dyDescent="0.2">
      <c r="A56" s="154"/>
    </row>
    <row r="57" spans="1:1" ht="47.25" customHeight="1" x14ac:dyDescent="0.25">
      <c r="A57" s="156" t="s">
        <v>164</v>
      </c>
    </row>
  </sheetData>
  <phoneticPr fontId="68" type="noConversion"/>
  <hyperlinks>
    <hyperlink ref="A38" location="'Top 10 Grain Exporters'!A1" display="Top 10 Exporters of Corn, Wheat, Rice, and Total Grains, 2011"/>
    <hyperlink ref="A42" location="'Grain Area per Person'!A1" display="Grain Harvested Area Per Person in Selected Countries and the World in 1950 and 2011, with Projection to 2050"/>
    <hyperlink ref="A4" location="Stocks!A1" display="World Grain Consumption and Stocks, 1960-2011"/>
    <hyperlink ref="A8" location="ProdAreaYield!A1" display="World Grain Production, Area, and Yield, 1950-2011"/>
    <hyperlink ref="A11" location="ProdPerCap!A1" display="World Grain Production Per Person, 1950-2011"/>
    <hyperlink ref="A14" location="Balance!A1" display="World Grain Production and Consumption, 1960-2011"/>
    <hyperlink ref="A17" location="AreaPerCap!A1" display="World Grainland Area Per Person, 1950-2011"/>
    <hyperlink ref="A21" location="ProdConTrade!A1" display="World Grain Production, Consumption, and Trade, 1960-2011"/>
    <hyperlink ref="A25" location="'CornWheatRice Prod'!A1" display="World Corn, Wheat, and Rice Production, 1960-2011"/>
    <hyperlink ref="A28" location="'CornWheatRice Area'!A1" display="World Corn, Wheat, and Rice Area, 1960-2011"/>
    <hyperlink ref="A31" location="'CornWheatRice Yields'!A1" display="World Average Corn, Wheat, and Rice Yields, 1960-2011"/>
    <hyperlink ref="A40" location="'Top 10 Consumers'!A1" display="Top 10 Consumers of Corn, Wheat, Rice, and Total Grain, 2011"/>
    <hyperlink ref="A49" location="'WFP Aid Recipients'!A1" display="Countries Receiving World Food Programme Aid, August 2012"/>
    <hyperlink ref="A51" location="'Food Insecurity Indicators'!A1" display="Food Insecurity Indicators in World's Hungriest Countries"/>
    <hyperlink ref="A36" location="'Top 10 Grain Importers'!A1" display="Top 10 Importers of Corn, Wheat, Rice, and Total Grain, 2011"/>
    <hyperlink ref="A55" r:id="rId1"/>
    <hyperlink ref="A34" location="'Top 10 Prod'!A1" display="Top 10 Producers of Corn, Wheat, Rice, and Total Grain, 2011"/>
    <hyperlink ref="A44" location="'World Food Prices'!A1" display="World Monthly Food Price Indices, January 1990 – August 2012"/>
  </hyperlinks>
  <pageMargins left="0.7" right="0.7" top="0.75" bottom="0.75" header="0.3" footer="0.3"/>
  <pageSetup scale="91" orientation="portrait"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65"/>
  <sheetViews>
    <sheetView zoomScaleNormal="100" zoomScaleSheetLayoutView="100" workbookViewId="0"/>
  </sheetViews>
  <sheetFormatPr defaultColWidth="8.85546875" defaultRowHeight="12.75" x14ac:dyDescent="0.25"/>
  <cols>
    <col min="1" max="1" width="8.85546875" style="83"/>
    <col min="2" max="2" width="12.7109375" style="83" customWidth="1"/>
    <col min="3" max="3" width="14.42578125" style="83" bestFit="1" customWidth="1"/>
    <col min="4" max="4" width="15.28515625" style="83" bestFit="1" customWidth="1"/>
    <col min="5" max="257" width="8.85546875" style="83"/>
    <col min="258" max="258" width="12.7109375" style="83" customWidth="1"/>
    <col min="259" max="259" width="14.42578125" style="83" bestFit="1" customWidth="1"/>
    <col min="260" max="260" width="15.28515625" style="83" bestFit="1" customWidth="1"/>
    <col min="261" max="513" width="8.85546875" style="83"/>
    <col min="514" max="514" width="12.7109375" style="83" customWidth="1"/>
    <col min="515" max="515" width="14.42578125" style="83" bestFit="1" customWidth="1"/>
    <col min="516" max="516" width="15.28515625" style="83" bestFit="1" customWidth="1"/>
    <col min="517" max="769" width="8.85546875" style="83"/>
    <col min="770" max="770" width="12.7109375" style="83" customWidth="1"/>
    <col min="771" max="771" width="14.42578125" style="83" bestFit="1" customWidth="1"/>
    <col min="772" max="772" width="15.28515625" style="83" bestFit="1" customWidth="1"/>
    <col min="773" max="1025" width="8.85546875" style="83"/>
    <col min="1026" max="1026" width="12.7109375" style="83" customWidth="1"/>
    <col min="1027" max="1027" width="14.42578125" style="83" bestFit="1" customWidth="1"/>
    <col min="1028" max="1028" width="15.28515625" style="83" bestFit="1" customWidth="1"/>
    <col min="1029" max="1281" width="8.85546875" style="83"/>
    <col min="1282" max="1282" width="12.7109375" style="83" customWidth="1"/>
    <col min="1283" max="1283" width="14.42578125" style="83" bestFit="1" customWidth="1"/>
    <col min="1284" max="1284" width="15.28515625" style="83" bestFit="1" customWidth="1"/>
    <col min="1285" max="1537" width="8.85546875" style="83"/>
    <col min="1538" max="1538" width="12.7109375" style="83" customWidth="1"/>
    <col min="1539" max="1539" width="14.42578125" style="83" bestFit="1" customWidth="1"/>
    <col min="1540" max="1540" width="15.28515625" style="83" bestFit="1" customWidth="1"/>
    <col min="1541" max="1793" width="8.85546875" style="83"/>
    <col min="1794" max="1794" width="12.7109375" style="83" customWidth="1"/>
    <col min="1795" max="1795" width="14.42578125" style="83" bestFit="1" customWidth="1"/>
    <col min="1796" max="1796" width="15.28515625" style="83" bestFit="1" customWidth="1"/>
    <col min="1797" max="2049" width="8.85546875" style="83"/>
    <col min="2050" max="2050" width="12.7109375" style="83" customWidth="1"/>
    <col min="2051" max="2051" width="14.42578125" style="83" bestFit="1" customWidth="1"/>
    <col min="2052" max="2052" width="15.28515625" style="83" bestFit="1" customWidth="1"/>
    <col min="2053" max="2305" width="8.85546875" style="83"/>
    <col min="2306" max="2306" width="12.7109375" style="83" customWidth="1"/>
    <col min="2307" max="2307" width="14.42578125" style="83" bestFit="1" customWidth="1"/>
    <col min="2308" max="2308" width="15.28515625" style="83" bestFit="1" customWidth="1"/>
    <col min="2309" max="2561" width="8.85546875" style="83"/>
    <col min="2562" max="2562" width="12.7109375" style="83" customWidth="1"/>
    <col min="2563" max="2563" width="14.42578125" style="83" bestFit="1" customWidth="1"/>
    <col min="2564" max="2564" width="15.28515625" style="83" bestFit="1" customWidth="1"/>
    <col min="2565" max="2817" width="8.85546875" style="83"/>
    <col min="2818" max="2818" width="12.7109375" style="83" customWidth="1"/>
    <col min="2819" max="2819" width="14.42578125" style="83" bestFit="1" customWidth="1"/>
    <col min="2820" max="2820" width="15.28515625" style="83" bestFit="1" customWidth="1"/>
    <col min="2821" max="3073" width="8.85546875" style="83"/>
    <col min="3074" max="3074" width="12.7109375" style="83" customWidth="1"/>
    <col min="3075" max="3075" width="14.42578125" style="83" bestFit="1" customWidth="1"/>
    <col min="3076" max="3076" width="15.28515625" style="83" bestFit="1" customWidth="1"/>
    <col min="3077" max="3329" width="8.85546875" style="83"/>
    <col min="3330" max="3330" width="12.7109375" style="83" customWidth="1"/>
    <col min="3331" max="3331" width="14.42578125" style="83" bestFit="1" customWidth="1"/>
    <col min="3332" max="3332" width="15.28515625" style="83" bestFit="1" customWidth="1"/>
    <col min="3333" max="3585" width="8.85546875" style="83"/>
    <col min="3586" max="3586" width="12.7109375" style="83" customWidth="1"/>
    <col min="3587" max="3587" width="14.42578125" style="83" bestFit="1" customWidth="1"/>
    <col min="3588" max="3588" width="15.28515625" style="83" bestFit="1" customWidth="1"/>
    <col min="3589" max="3841" width="8.85546875" style="83"/>
    <col min="3842" max="3842" width="12.7109375" style="83" customWidth="1"/>
    <col min="3843" max="3843" width="14.42578125" style="83" bestFit="1" customWidth="1"/>
    <col min="3844" max="3844" width="15.28515625" style="83" bestFit="1" customWidth="1"/>
    <col min="3845" max="4097" width="8.85546875" style="83"/>
    <col min="4098" max="4098" width="12.7109375" style="83" customWidth="1"/>
    <col min="4099" max="4099" width="14.42578125" style="83" bestFit="1" customWidth="1"/>
    <col min="4100" max="4100" width="15.28515625" style="83" bestFit="1" customWidth="1"/>
    <col min="4101" max="4353" width="8.85546875" style="83"/>
    <col min="4354" max="4354" width="12.7109375" style="83" customWidth="1"/>
    <col min="4355" max="4355" width="14.42578125" style="83" bestFit="1" customWidth="1"/>
    <col min="4356" max="4356" width="15.28515625" style="83" bestFit="1" customWidth="1"/>
    <col min="4357" max="4609" width="8.85546875" style="83"/>
    <col min="4610" max="4610" width="12.7109375" style="83" customWidth="1"/>
    <col min="4611" max="4611" width="14.42578125" style="83" bestFit="1" customWidth="1"/>
    <col min="4612" max="4612" width="15.28515625" style="83" bestFit="1" customWidth="1"/>
    <col min="4613" max="4865" width="8.85546875" style="83"/>
    <col min="4866" max="4866" width="12.7109375" style="83" customWidth="1"/>
    <col min="4867" max="4867" width="14.42578125" style="83" bestFit="1" customWidth="1"/>
    <col min="4868" max="4868" width="15.28515625" style="83" bestFit="1" customWidth="1"/>
    <col min="4869" max="5121" width="8.85546875" style="83"/>
    <col min="5122" max="5122" width="12.7109375" style="83" customWidth="1"/>
    <col min="5123" max="5123" width="14.42578125" style="83" bestFit="1" customWidth="1"/>
    <col min="5124" max="5124" width="15.28515625" style="83" bestFit="1" customWidth="1"/>
    <col min="5125" max="5377" width="8.85546875" style="83"/>
    <col min="5378" max="5378" width="12.7109375" style="83" customWidth="1"/>
    <col min="5379" max="5379" width="14.42578125" style="83" bestFit="1" customWidth="1"/>
    <col min="5380" max="5380" width="15.28515625" style="83" bestFit="1" customWidth="1"/>
    <col min="5381" max="5633" width="8.85546875" style="83"/>
    <col min="5634" max="5634" width="12.7109375" style="83" customWidth="1"/>
    <col min="5635" max="5635" width="14.42578125" style="83" bestFit="1" customWidth="1"/>
    <col min="5636" max="5636" width="15.28515625" style="83" bestFit="1" customWidth="1"/>
    <col min="5637" max="5889" width="8.85546875" style="83"/>
    <col min="5890" max="5890" width="12.7109375" style="83" customWidth="1"/>
    <col min="5891" max="5891" width="14.42578125" style="83" bestFit="1" customWidth="1"/>
    <col min="5892" max="5892" width="15.28515625" style="83" bestFit="1" customWidth="1"/>
    <col min="5893" max="6145" width="8.85546875" style="83"/>
    <col min="6146" max="6146" width="12.7109375" style="83" customWidth="1"/>
    <col min="6147" max="6147" width="14.42578125" style="83" bestFit="1" customWidth="1"/>
    <col min="6148" max="6148" width="15.28515625" style="83" bestFit="1" customWidth="1"/>
    <col min="6149" max="6401" width="8.85546875" style="83"/>
    <col min="6402" max="6402" width="12.7109375" style="83" customWidth="1"/>
    <col min="6403" max="6403" width="14.42578125" style="83" bestFit="1" customWidth="1"/>
    <col min="6404" max="6404" width="15.28515625" style="83" bestFit="1" customWidth="1"/>
    <col min="6405" max="6657" width="8.85546875" style="83"/>
    <col min="6658" max="6658" width="12.7109375" style="83" customWidth="1"/>
    <col min="6659" max="6659" width="14.42578125" style="83" bestFit="1" customWidth="1"/>
    <col min="6660" max="6660" width="15.28515625" style="83" bestFit="1" customWidth="1"/>
    <col min="6661" max="6913" width="8.85546875" style="83"/>
    <col min="6914" max="6914" width="12.7109375" style="83" customWidth="1"/>
    <col min="6915" max="6915" width="14.42578125" style="83" bestFit="1" customWidth="1"/>
    <col min="6916" max="6916" width="15.28515625" style="83" bestFit="1" customWidth="1"/>
    <col min="6917" max="7169" width="8.85546875" style="83"/>
    <col min="7170" max="7170" width="12.7109375" style="83" customWidth="1"/>
    <col min="7171" max="7171" width="14.42578125" style="83" bestFit="1" customWidth="1"/>
    <col min="7172" max="7172" width="15.28515625" style="83" bestFit="1" customWidth="1"/>
    <col min="7173" max="7425" width="8.85546875" style="83"/>
    <col min="7426" max="7426" width="12.7109375" style="83" customWidth="1"/>
    <col min="7427" max="7427" width="14.42578125" style="83" bestFit="1" customWidth="1"/>
    <col min="7428" max="7428" width="15.28515625" style="83" bestFit="1" customWidth="1"/>
    <col min="7429" max="7681" width="8.85546875" style="83"/>
    <col min="7682" max="7682" width="12.7109375" style="83" customWidth="1"/>
    <col min="7683" max="7683" width="14.42578125" style="83" bestFit="1" customWidth="1"/>
    <col min="7684" max="7684" width="15.28515625" style="83" bestFit="1" customWidth="1"/>
    <col min="7685" max="7937" width="8.85546875" style="83"/>
    <col min="7938" max="7938" width="12.7109375" style="83" customWidth="1"/>
    <col min="7939" max="7939" width="14.42578125" style="83" bestFit="1" customWidth="1"/>
    <col min="7940" max="7940" width="15.28515625" style="83" bestFit="1" customWidth="1"/>
    <col min="7941" max="8193" width="8.85546875" style="83"/>
    <col min="8194" max="8194" width="12.7109375" style="83" customWidth="1"/>
    <col min="8195" max="8195" width="14.42578125" style="83" bestFit="1" customWidth="1"/>
    <col min="8196" max="8196" width="15.28515625" style="83" bestFit="1" customWidth="1"/>
    <col min="8197" max="8449" width="8.85546875" style="83"/>
    <col min="8450" max="8450" width="12.7109375" style="83" customWidth="1"/>
    <col min="8451" max="8451" width="14.42578125" style="83" bestFit="1" customWidth="1"/>
    <col min="8452" max="8452" width="15.28515625" style="83" bestFit="1" customWidth="1"/>
    <col min="8453" max="8705" width="8.85546875" style="83"/>
    <col min="8706" max="8706" width="12.7109375" style="83" customWidth="1"/>
    <col min="8707" max="8707" width="14.42578125" style="83" bestFit="1" customWidth="1"/>
    <col min="8708" max="8708" width="15.28515625" style="83" bestFit="1" customWidth="1"/>
    <col min="8709" max="8961" width="8.85546875" style="83"/>
    <col min="8962" max="8962" width="12.7109375" style="83" customWidth="1"/>
    <col min="8963" max="8963" width="14.42578125" style="83" bestFit="1" customWidth="1"/>
    <col min="8964" max="8964" width="15.28515625" style="83" bestFit="1" customWidth="1"/>
    <col min="8965" max="9217" width="8.85546875" style="83"/>
    <col min="9218" max="9218" width="12.7109375" style="83" customWidth="1"/>
    <col min="9219" max="9219" width="14.42578125" style="83" bestFit="1" customWidth="1"/>
    <col min="9220" max="9220" width="15.28515625" style="83" bestFit="1" customWidth="1"/>
    <col min="9221" max="9473" width="8.85546875" style="83"/>
    <col min="9474" max="9474" width="12.7109375" style="83" customWidth="1"/>
    <col min="9475" max="9475" width="14.42578125" style="83" bestFit="1" customWidth="1"/>
    <col min="9476" max="9476" width="15.28515625" style="83" bestFit="1" customWidth="1"/>
    <col min="9477" max="9729" width="8.85546875" style="83"/>
    <col min="9730" max="9730" width="12.7109375" style="83" customWidth="1"/>
    <col min="9731" max="9731" width="14.42578125" style="83" bestFit="1" customWidth="1"/>
    <col min="9732" max="9732" width="15.28515625" style="83" bestFit="1" customWidth="1"/>
    <col min="9733" max="9985" width="8.85546875" style="83"/>
    <col min="9986" max="9986" width="12.7109375" style="83" customWidth="1"/>
    <col min="9987" max="9987" width="14.42578125" style="83" bestFit="1" customWidth="1"/>
    <col min="9988" max="9988" width="15.28515625" style="83" bestFit="1" customWidth="1"/>
    <col min="9989" max="10241" width="8.85546875" style="83"/>
    <col min="10242" max="10242" width="12.7109375" style="83" customWidth="1"/>
    <col min="10243" max="10243" width="14.42578125" style="83" bestFit="1" customWidth="1"/>
    <col min="10244" max="10244" width="15.28515625" style="83" bestFit="1" customWidth="1"/>
    <col min="10245" max="10497" width="8.85546875" style="83"/>
    <col min="10498" max="10498" width="12.7109375" style="83" customWidth="1"/>
    <col min="10499" max="10499" width="14.42578125" style="83" bestFit="1" customWidth="1"/>
    <col min="10500" max="10500" width="15.28515625" style="83" bestFit="1" customWidth="1"/>
    <col min="10501" max="10753" width="8.85546875" style="83"/>
    <col min="10754" max="10754" width="12.7109375" style="83" customWidth="1"/>
    <col min="10755" max="10755" width="14.42578125" style="83" bestFit="1" customWidth="1"/>
    <col min="10756" max="10756" width="15.28515625" style="83" bestFit="1" customWidth="1"/>
    <col min="10757" max="11009" width="8.85546875" style="83"/>
    <col min="11010" max="11010" width="12.7109375" style="83" customWidth="1"/>
    <col min="11011" max="11011" width="14.42578125" style="83" bestFit="1" customWidth="1"/>
    <col min="11012" max="11012" width="15.28515625" style="83" bestFit="1" customWidth="1"/>
    <col min="11013" max="11265" width="8.85546875" style="83"/>
    <col min="11266" max="11266" width="12.7109375" style="83" customWidth="1"/>
    <col min="11267" max="11267" width="14.42578125" style="83" bestFit="1" customWidth="1"/>
    <col min="11268" max="11268" width="15.28515625" style="83" bestFit="1" customWidth="1"/>
    <col min="11269" max="11521" width="8.85546875" style="83"/>
    <col min="11522" max="11522" width="12.7109375" style="83" customWidth="1"/>
    <col min="11523" max="11523" width="14.42578125" style="83" bestFit="1" customWidth="1"/>
    <col min="11524" max="11524" width="15.28515625" style="83" bestFit="1" customWidth="1"/>
    <col min="11525" max="11777" width="8.85546875" style="83"/>
    <col min="11778" max="11778" width="12.7109375" style="83" customWidth="1"/>
    <col min="11779" max="11779" width="14.42578125" style="83" bestFit="1" customWidth="1"/>
    <col min="11780" max="11780" width="15.28515625" style="83" bestFit="1" customWidth="1"/>
    <col min="11781" max="12033" width="8.85546875" style="83"/>
    <col min="12034" max="12034" width="12.7109375" style="83" customWidth="1"/>
    <col min="12035" max="12035" width="14.42578125" style="83" bestFit="1" customWidth="1"/>
    <col min="12036" max="12036" width="15.28515625" style="83" bestFit="1" customWidth="1"/>
    <col min="12037" max="12289" width="8.85546875" style="83"/>
    <col min="12290" max="12290" width="12.7109375" style="83" customWidth="1"/>
    <col min="12291" max="12291" width="14.42578125" style="83" bestFit="1" customWidth="1"/>
    <col min="12292" max="12292" width="15.28515625" style="83" bestFit="1" customWidth="1"/>
    <col min="12293" max="12545" width="8.85546875" style="83"/>
    <col min="12546" max="12546" width="12.7109375" style="83" customWidth="1"/>
    <col min="12547" max="12547" width="14.42578125" style="83" bestFit="1" customWidth="1"/>
    <col min="12548" max="12548" width="15.28515625" style="83" bestFit="1" customWidth="1"/>
    <col min="12549" max="12801" width="8.85546875" style="83"/>
    <col min="12802" max="12802" width="12.7109375" style="83" customWidth="1"/>
    <col min="12803" max="12803" width="14.42578125" style="83" bestFit="1" customWidth="1"/>
    <col min="12804" max="12804" width="15.28515625" style="83" bestFit="1" customWidth="1"/>
    <col min="12805" max="13057" width="8.85546875" style="83"/>
    <col min="13058" max="13058" width="12.7109375" style="83" customWidth="1"/>
    <col min="13059" max="13059" width="14.42578125" style="83" bestFit="1" customWidth="1"/>
    <col min="13060" max="13060" width="15.28515625" style="83" bestFit="1" customWidth="1"/>
    <col min="13061" max="13313" width="8.85546875" style="83"/>
    <col min="13314" max="13314" width="12.7109375" style="83" customWidth="1"/>
    <col min="13315" max="13315" width="14.42578125" style="83" bestFit="1" customWidth="1"/>
    <col min="13316" max="13316" width="15.28515625" style="83" bestFit="1" customWidth="1"/>
    <col min="13317" max="13569" width="8.85546875" style="83"/>
    <col min="13570" max="13570" width="12.7109375" style="83" customWidth="1"/>
    <col min="13571" max="13571" width="14.42578125" style="83" bestFit="1" customWidth="1"/>
    <col min="13572" max="13572" width="15.28515625" style="83" bestFit="1" customWidth="1"/>
    <col min="13573" max="13825" width="8.85546875" style="83"/>
    <col min="13826" max="13826" width="12.7109375" style="83" customWidth="1"/>
    <col min="13827" max="13827" width="14.42578125" style="83" bestFit="1" customWidth="1"/>
    <col min="13828" max="13828" width="15.28515625" style="83" bestFit="1" customWidth="1"/>
    <col min="13829" max="14081" width="8.85546875" style="83"/>
    <col min="14082" max="14082" width="12.7109375" style="83" customWidth="1"/>
    <col min="14083" max="14083" width="14.42578125" style="83" bestFit="1" customWidth="1"/>
    <col min="14084" max="14084" width="15.28515625" style="83" bestFit="1" customWidth="1"/>
    <col min="14085" max="14337" width="8.85546875" style="83"/>
    <col min="14338" max="14338" width="12.7109375" style="83" customWidth="1"/>
    <col min="14339" max="14339" width="14.42578125" style="83" bestFit="1" customWidth="1"/>
    <col min="14340" max="14340" width="15.28515625" style="83" bestFit="1" customWidth="1"/>
    <col min="14341" max="14593" width="8.85546875" style="83"/>
    <col min="14594" max="14594" width="12.7109375" style="83" customWidth="1"/>
    <col min="14595" max="14595" width="14.42578125" style="83" bestFit="1" customWidth="1"/>
    <col min="14596" max="14596" width="15.28515625" style="83" bestFit="1" customWidth="1"/>
    <col min="14597" max="14849" width="8.85546875" style="83"/>
    <col min="14850" max="14850" width="12.7109375" style="83" customWidth="1"/>
    <col min="14851" max="14851" width="14.42578125" style="83" bestFit="1" customWidth="1"/>
    <col min="14852" max="14852" width="15.28515625" style="83" bestFit="1" customWidth="1"/>
    <col min="14853" max="15105" width="8.85546875" style="83"/>
    <col min="15106" max="15106" width="12.7109375" style="83" customWidth="1"/>
    <col min="15107" max="15107" width="14.42578125" style="83" bestFit="1" customWidth="1"/>
    <col min="15108" max="15108" width="15.28515625" style="83" bestFit="1" customWidth="1"/>
    <col min="15109" max="15361" width="8.85546875" style="83"/>
    <col min="15362" max="15362" width="12.7109375" style="83" customWidth="1"/>
    <col min="15363" max="15363" width="14.42578125" style="83" bestFit="1" customWidth="1"/>
    <col min="15364" max="15364" width="15.28515625" style="83" bestFit="1" customWidth="1"/>
    <col min="15365" max="15617" width="8.85546875" style="83"/>
    <col min="15618" max="15618" width="12.7109375" style="83" customWidth="1"/>
    <col min="15619" max="15619" width="14.42578125" style="83" bestFit="1" customWidth="1"/>
    <col min="15620" max="15620" width="15.28515625" style="83" bestFit="1" customWidth="1"/>
    <col min="15621" max="15873" width="8.85546875" style="83"/>
    <col min="15874" max="15874" width="12.7109375" style="83" customWidth="1"/>
    <col min="15875" max="15875" width="14.42578125" style="83" bestFit="1" customWidth="1"/>
    <col min="15876" max="15876" width="15.28515625" style="83" bestFit="1" customWidth="1"/>
    <col min="15877" max="16129" width="8.85546875" style="83"/>
    <col min="16130" max="16130" width="12.7109375" style="83" customWidth="1"/>
    <col min="16131" max="16131" width="14.42578125" style="83" bestFit="1" customWidth="1"/>
    <col min="16132" max="16132" width="15.28515625" style="83" bestFit="1" customWidth="1"/>
    <col min="16133" max="16384" width="8.85546875" style="83"/>
  </cols>
  <sheetData>
    <row r="1" spans="1:7" x14ac:dyDescent="0.25">
      <c r="A1" s="25" t="s">
        <v>1</v>
      </c>
    </row>
    <row r="3" spans="1:7" x14ac:dyDescent="0.25">
      <c r="A3" s="84" t="s">
        <v>51</v>
      </c>
      <c r="B3" s="51" t="s">
        <v>79</v>
      </c>
      <c r="C3" s="51" t="s">
        <v>80</v>
      </c>
      <c r="D3" s="51" t="s">
        <v>81</v>
      </c>
    </row>
    <row r="4" spans="1:7" x14ac:dyDescent="0.25">
      <c r="A4" s="85"/>
      <c r="B4" s="270" t="s">
        <v>182</v>
      </c>
      <c r="C4" s="269"/>
      <c r="D4" s="269"/>
    </row>
    <row r="6" spans="1:7" x14ac:dyDescent="0.25">
      <c r="A6" s="85">
        <v>1960</v>
      </c>
      <c r="B6" s="33">
        <v>1.9531997768621732</v>
      </c>
      <c r="C6" s="86">
        <v>1.1545548961424332</v>
      </c>
      <c r="D6" s="87">
        <v>1.2553979590138007</v>
      </c>
      <c r="E6" s="139"/>
      <c r="F6" s="86"/>
      <c r="G6" s="140"/>
    </row>
    <row r="7" spans="1:7" x14ac:dyDescent="0.25">
      <c r="A7" s="85">
        <v>1961</v>
      </c>
      <c r="B7" s="33">
        <v>2.0204980600744853</v>
      </c>
      <c r="C7" s="86">
        <v>1.081545085472186</v>
      </c>
      <c r="D7" s="87">
        <v>1.2718340140048525</v>
      </c>
      <c r="E7" s="139"/>
      <c r="F7" s="86"/>
      <c r="G7" s="140"/>
    </row>
    <row r="8" spans="1:7" x14ac:dyDescent="0.25">
      <c r="A8" s="85">
        <v>1962</v>
      </c>
      <c r="B8" s="33">
        <v>2.0321887991214997</v>
      </c>
      <c r="C8" s="86">
        <v>1.1928769613008634</v>
      </c>
      <c r="D8" s="87">
        <v>1.2955754725649229</v>
      </c>
      <c r="E8" s="139"/>
      <c r="F8" s="86"/>
      <c r="G8" s="140"/>
    </row>
    <row r="9" spans="1:7" x14ac:dyDescent="0.25">
      <c r="A9" s="85">
        <v>1963</v>
      </c>
      <c r="B9" s="33">
        <v>2.0217211091550937</v>
      </c>
      <c r="C9" s="86">
        <v>1.1167192581928873</v>
      </c>
      <c r="D9" s="87">
        <v>1.3950607093626961</v>
      </c>
      <c r="E9" s="139"/>
      <c r="F9" s="86"/>
      <c r="G9" s="140"/>
    </row>
    <row r="10" spans="1:7" x14ac:dyDescent="0.25">
      <c r="A10" s="85">
        <v>1964</v>
      </c>
      <c r="B10" s="33">
        <v>2.0322592819738641</v>
      </c>
      <c r="C10" s="86">
        <v>1.2267805872001483</v>
      </c>
      <c r="D10" s="87">
        <v>1.4412573861869333</v>
      </c>
      <c r="E10" s="139"/>
      <c r="F10" s="86"/>
      <c r="G10" s="140"/>
    </row>
    <row r="11" spans="1:7" x14ac:dyDescent="0.25">
      <c r="A11" s="85">
        <v>1965</v>
      </c>
      <c r="B11" s="33">
        <v>2.1583501641603888</v>
      </c>
      <c r="C11" s="86">
        <v>1.2047127034862113</v>
      </c>
      <c r="D11" s="87">
        <v>1.3947340824574281</v>
      </c>
      <c r="E11" s="139"/>
      <c r="F11" s="86"/>
      <c r="G11" s="140"/>
    </row>
    <row r="12" spans="1:7" x14ac:dyDescent="0.25">
      <c r="A12" s="85">
        <v>1966</v>
      </c>
      <c r="B12" s="33">
        <v>2.2804617825682554</v>
      </c>
      <c r="C12" s="86">
        <v>1.4059624017957351</v>
      </c>
      <c r="D12" s="87">
        <v>1.4242315740895455</v>
      </c>
      <c r="E12" s="139"/>
      <c r="F12" s="86"/>
      <c r="G12" s="140"/>
    </row>
    <row r="13" spans="1:7" x14ac:dyDescent="0.25">
      <c r="A13" s="85">
        <v>1967</v>
      </c>
      <c r="B13" s="33">
        <v>2.3758575377225974</v>
      </c>
      <c r="C13" s="86">
        <v>1.3318734859786223</v>
      </c>
      <c r="D13" s="87">
        <v>1.48714859437751</v>
      </c>
      <c r="E13" s="139"/>
      <c r="F13" s="86"/>
      <c r="G13" s="140"/>
    </row>
    <row r="14" spans="1:7" x14ac:dyDescent="0.25">
      <c r="A14" s="85">
        <v>1968</v>
      </c>
      <c r="B14" s="33">
        <v>2.3212473339707289</v>
      </c>
      <c r="C14" s="86">
        <v>1.4461039599096002</v>
      </c>
      <c r="D14" s="87">
        <v>1.5152846577963031</v>
      </c>
      <c r="E14" s="139"/>
      <c r="F14" s="86"/>
      <c r="G14" s="140"/>
    </row>
    <row r="15" spans="1:7" x14ac:dyDescent="0.25">
      <c r="A15" s="85">
        <v>1969</v>
      </c>
      <c r="B15" s="33">
        <v>2.4562083299224131</v>
      </c>
      <c r="C15" s="86">
        <v>1.3957185617746437</v>
      </c>
      <c r="D15" s="87">
        <v>1.5300397181683989</v>
      </c>
      <c r="E15" s="139"/>
      <c r="F15" s="86"/>
      <c r="G15" s="140"/>
    </row>
    <row r="16" spans="1:7" x14ac:dyDescent="0.25">
      <c r="A16" s="85">
        <v>1970</v>
      </c>
      <c r="B16" s="33">
        <v>2.3824284812882701</v>
      </c>
      <c r="C16" s="86">
        <v>1.4809763309321236</v>
      </c>
      <c r="D16" s="87">
        <v>1.6057593004409936</v>
      </c>
      <c r="E16" s="139"/>
      <c r="F16" s="86"/>
      <c r="G16" s="140"/>
    </row>
    <row r="17" spans="1:7" x14ac:dyDescent="0.25">
      <c r="A17" s="85">
        <v>1971</v>
      </c>
      <c r="B17" s="33">
        <v>2.6543114277356183</v>
      </c>
      <c r="C17" s="86">
        <v>1.617587056257521</v>
      </c>
      <c r="D17" s="87">
        <v>1.6003144677410981</v>
      </c>
      <c r="E17" s="139"/>
      <c r="F17" s="86"/>
      <c r="G17" s="140"/>
    </row>
    <row r="18" spans="1:7" x14ac:dyDescent="0.25">
      <c r="A18" s="85">
        <v>1972</v>
      </c>
      <c r="B18" s="33">
        <v>2.6945946670718954</v>
      </c>
      <c r="C18" s="86">
        <v>1.6002181128496917</v>
      </c>
      <c r="D18" s="87">
        <v>1.5766688298948068</v>
      </c>
      <c r="E18" s="139"/>
      <c r="F18" s="86"/>
      <c r="G18" s="140"/>
    </row>
    <row r="19" spans="1:7" x14ac:dyDescent="0.25">
      <c r="A19" s="85">
        <v>1973</v>
      </c>
      <c r="B19" s="33">
        <v>2.7974625690853232</v>
      </c>
      <c r="C19" s="86">
        <v>1.6867207298530158</v>
      </c>
      <c r="D19" s="87">
        <v>1.6696627729513971</v>
      </c>
      <c r="E19" s="139"/>
      <c r="F19" s="86"/>
      <c r="G19" s="140"/>
    </row>
    <row r="20" spans="1:7" x14ac:dyDescent="0.25">
      <c r="A20" s="85">
        <v>1974</v>
      </c>
      <c r="B20" s="33">
        <v>2.5247904998526129</v>
      </c>
      <c r="C20" s="86">
        <v>1.6144728350285875</v>
      </c>
      <c r="D20" s="87">
        <v>1.6376527620540509</v>
      </c>
      <c r="E20" s="139"/>
      <c r="F20" s="86"/>
      <c r="G20" s="140"/>
    </row>
    <row r="21" spans="1:7" x14ac:dyDescent="0.25">
      <c r="A21" s="85">
        <v>1975</v>
      </c>
      <c r="B21" s="33">
        <v>2.7811575072354451</v>
      </c>
      <c r="C21" s="86">
        <v>1.5649690686879265</v>
      </c>
      <c r="D21" s="87">
        <v>1.7016751087664725</v>
      </c>
      <c r="E21" s="139"/>
      <c r="F21" s="86"/>
      <c r="G21" s="140"/>
    </row>
    <row r="22" spans="1:7" x14ac:dyDescent="0.25">
      <c r="A22" s="85">
        <v>1976</v>
      </c>
      <c r="B22" s="33">
        <v>2.865856602558944</v>
      </c>
      <c r="C22" s="86">
        <v>1.7777682432896273</v>
      </c>
      <c r="D22" s="87">
        <v>1.6690680640152025</v>
      </c>
      <c r="E22" s="139"/>
      <c r="F22" s="86"/>
      <c r="G22" s="140"/>
    </row>
    <row r="23" spans="1:7" x14ac:dyDescent="0.25">
      <c r="A23" s="85">
        <v>1977</v>
      </c>
      <c r="B23" s="33">
        <v>2.9055831186591612</v>
      </c>
      <c r="C23" s="86">
        <v>1.6633679057563966</v>
      </c>
      <c r="D23" s="87">
        <v>1.750211673162642</v>
      </c>
      <c r="E23" s="139"/>
      <c r="F23" s="86"/>
      <c r="G23" s="140"/>
    </row>
    <row r="24" spans="1:7" x14ac:dyDescent="0.25">
      <c r="A24" s="85">
        <v>1978</v>
      </c>
      <c r="B24" s="33">
        <v>3.1109277565333291</v>
      </c>
      <c r="C24" s="86">
        <v>1.9175979240024115</v>
      </c>
      <c r="D24" s="87">
        <v>1.8298607716907094</v>
      </c>
      <c r="E24" s="139"/>
      <c r="F24" s="86"/>
      <c r="G24" s="140"/>
    </row>
    <row r="25" spans="1:7" x14ac:dyDescent="0.25">
      <c r="A25" s="85">
        <v>1979</v>
      </c>
      <c r="B25" s="33">
        <v>3.3441986562414052</v>
      </c>
      <c r="C25" s="86">
        <v>1.83269104156608</v>
      </c>
      <c r="D25" s="87">
        <v>1.8126304617017512</v>
      </c>
      <c r="F25" s="86"/>
      <c r="G25" s="140"/>
    </row>
    <row r="26" spans="1:7" x14ac:dyDescent="0.25">
      <c r="A26" s="85">
        <v>1980</v>
      </c>
      <c r="B26" s="33">
        <v>3.1156118272111231</v>
      </c>
      <c r="C26" s="86">
        <v>1.8398698190383325</v>
      </c>
      <c r="D26" s="87">
        <v>1.8690136553748995</v>
      </c>
      <c r="E26" s="139"/>
      <c r="F26" s="86"/>
      <c r="G26" s="140"/>
    </row>
    <row r="27" spans="1:7" x14ac:dyDescent="0.25">
      <c r="A27" s="85">
        <v>1981</v>
      </c>
      <c r="B27" s="33">
        <v>3.3204524954900783</v>
      </c>
      <c r="C27" s="86">
        <v>1.8625973688946931</v>
      </c>
      <c r="D27" s="87">
        <v>1.9248623376623377</v>
      </c>
      <c r="E27" s="139"/>
      <c r="F27" s="86"/>
      <c r="G27" s="140"/>
    </row>
    <row r="28" spans="1:7" x14ac:dyDescent="0.25">
      <c r="A28" s="85">
        <v>1982</v>
      </c>
      <c r="B28" s="33">
        <v>3.5120683460417581</v>
      </c>
      <c r="C28" s="86">
        <v>1.9833566181252176</v>
      </c>
      <c r="D28" s="87">
        <v>2.0279094260136916</v>
      </c>
      <c r="E28" s="139"/>
      <c r="F28" s="86"/>
      <c r="G28" s="140"/>
    </row>
    <row r="29" spans="1:7" x14ac:dyDescent="0.25">
      <c r="A29" s="85">
        <v>1983</v>
      </c>
      <c r="B29" s="33">
        <v>2.9095648251029664</v>
      </c>
      <c r="C29" s="86">
        <v>2.1063877906951456</v>
      </c>
      <c r="D29" s="87">
        <v>2.1225062753694344</v>
      </c>
      <c r="E29" s="139"/>
      <c r="F29" s="86"/>
      <c r="G29" s="140"/>
    </row>
    <row r="30" spans="1:7" x14ac:dyDescent="0.25">
      <c r="A30" s="85">
        <v>1984</v>
      </c>
      <c r="B30" s="33">
        <v>3.5540788871744371</v>
      </c>
      <c r="C30" s="86">
        <v>2.1967246373058114</v>
      </c>
      <c r="D30" s="87">
        <v>2.1986853339071404</v>
      </c>
      <c r="E30" s="139"/>
      <c r="F30" s="86"/>
      <c r="G30" s="140"/>
    </row>
    <row r="31" spans="1:7" x14ac:dyDescent="0.25">
      <c r="A31" s="85">
        <v>1985</v>
      </c>
      <c r="B31" s="33">
        <v>3.656669134878892</v>
      </c>
      <c r="C31" s="86">
        <v>2.1529809508062621</v>
      </c>
      <c r="D31" s="87">
        <v>2.1971284063899175</v>
      </c>
      <c r="E31" s="139"/>
      <c r="F31" s="86"/>
      <c r="G31" s="140"/>
    </row>
    <row r="32" spans="1:7" x14ac:dyDescent="0.25">
      <c r="A32" s="85">
        <v>1986</v>
      </c>
      <c r="B32" s="33">
        <v>3.6057000280602765</v>
      </c>
      <c r="C32" s="86">
        <v>2.2996643190943198</v>
      </c>
      <c r="D32" s="87">
        <v>2.1825369970098545</v>
      </c>
      <c r="E32" s="139"/>
      <c r="F32" s="86"/>
      <c r="G32" s="140"/>
    </row>
    <row r="33" spans="1:7" x14ac:dyDescent="0.25">
      <c r="A33" s="85">
        <v>1987</v>
      </c>
      <c r="B33" s="33">
        <v>3.5550764622418414</v>
      </c>
      <c r="C33" s="86">
        <v>2.2659675491964539</v>
      </c>
      <c r="D33" s="87">
        <v>2.2278692233723625</v>
      </c>
      <c r="E33" s="139"/>
      <c r="F33" s="86"/>
      <c r="G33" s="140"/>
    </row>
    <row r="34" spans="1:7" x14ac:dyDescent="0.25">
      <c r="A34" s="85">
        <v>1988</v>
      </c>
      <c r="B34" s="33">
        <v>3.1751593871919308</v>
      </c>
      <c r="C34" s="86">
        <v>2.273180403712169</v>
      </c>
      <c r="D34" s="87">
        <v>2.2657420419969712</v>
      </c>
      <c r="E34" s="139"/>
      <c r="F34" s="86"/>
      <c r="G34" s="140"/>
    </row>
    <row r="35" spans="1:7" x14ac:dyDescent="0.25">
      <c r="A35" s="85">
        <v>1989</v>
      </c>
      <c r="B35" s="33">
        <v>3.6265022386301156</v>
      </c>
      <c r="C35" s="86">
        <v>2.3555204057737935</v>
      </c>
      <c r="D35" s="87">
        <v>2.3357327939057311</v>
      </c>
      <c r="E35" s="139"/>
      <c r="F35" s="86"/>
      <c r="G35" s="140"/>
    </row>
    <row r="36" spans="1:7" x14ac:dyDescent="0.25">
      <c r="A36" s="85">
        <v>1990</v>
      </c>
      <c r="B36" s="33">
        <v>3.7331954578550293</v>
      </c>
      <c r="C36" s="86">
        <v>2.5487565742484253</v>
      </c>
      <c r="D36" s="87">
        <v>2.3908318930909189</v>
      </c>
      <c r="E36" s="139"/>
      <c r="F36" s="86"/>
      <c r="G36" s="140"/>
    </row>
    <row r="37" spans="1:7" x14ac:dyDescent="0.25">
      <c r="A37" s="85">
        <v>1991</v>
      </c>
      <c r="B37" s="33">
        <v>3.7204335159775996</v>
      </c>
      <c r="C37" s="86">
        <v>2.439780939982942</v>
      </c>
      <c r="D37" s="87">
        <v>2.3950408852365648</v>
      </c>
      <c r="E37" s="139"/>
      <c r="F37" s="86"/>
      <c r="G37" s="140"/>
    </row>
    <row r="38" spans="1:7" x14ac:dyDescent="0.25">
      <c r="A38" s="85">
        <v>1992</v>
      </c>
      <c r="B38" s="33">
        <v>4.0246844003606856</v>
      </c>
      <c r="C38" s="86">
        <v>2.5336911929604931</v>
      </c>
      <c r="D38" s="87">
        <v>2.4167326597487713</v>
      </c>
      <c r="E38" s="139"/>
      <c r="F38" s="86"/>
      <c r="G38" s="140"/>
    </row>
    <row r="39" spans="1:7" x14ac:dyDescent="0.25">
      <c r="A39" s="88">
        <v>1993</v>
      </c>
      <c r="B39" s="33">
        <v>3.6401077251478542</v>
      </c>
      <c r="C39" s="86">
        <v>2.5265105589837318</v>
      </c>
      <c r="D39" s="87">
        <v>2.4406187212726724</v>
      </c>
      <c r="E39" s="139"/>
      <c r="F39" s="86"/>
      <c r="G39" s="140"/>
    </row>
    <row r="40" spans="1:7" x14ac:dyDescent="0.25">
      <c r="A40" s="85">
        <v>1994</v>
      </c>
      <c r="B40" s="33">
        <v>4.1380198122350542</v>
      </c>
      <c r="C40" s="86">
        <v>2.451792092853192</v>
      </c>
      <c r="D40" s="87">
        <v>2.4714473809232942</v>
      </c>
      <c r="E40" s="139"/>
      <c r="F40" s="86"/>
      <c r="G40" s="140"/>
    </row>
    <row r="41" spans="1:7" x14ac:dyDescent="0.25">
      <c r="A41" s="85">
        <v>1995</v>
      </c>
      <c r="B41" s="33">
        <v>3.8259339389179496</v>
      </c>
      <c r="C41" s="86">
        <v>2.4802897815102787</v>
      </c>
      <c r="D41" s="87">
        <v>2.4859186259706645</v>
      </c>
      <c r="E41" s="139"/>
      <c r="F41" s="86"/>
      <c r="G41" s="140"/>
    </row>
    <row r="42" spans="1:7" x14ac:dyDescent="0.25">
      <c r="A42" s="85">
        <v>1996</v>
      </c>
      <c r="B42" s="33">
        <v>4.1900653594771242</v>
      </c>
      <c r="C42" s="86">
        <v>2.56005318493211</v>
      </c>
      <c r="D42" s="87">
        <v>2.5411405688852167</v>
      </c>
      <c r="E42" s="139"/>
      <c r="F42" s="86"/>
      <c r="G42" s="140"/>
    </row>
    <row r="43" spans="1:7" x14ac:dyDescent="0.25">
      <c r="A43" s="85">
        <v>1997</v>
      </c>
      <c r="B43" s="33">
        <v>4.216067640863419</v>
      </c>
      <c r="C43" s="86">
        <v>2.6949305987978995</v>
      </c>
      <c r="D43" s="87">
        <v>2.5538073140506765</v>
      </c>
      <c r="E43" s="139"/>
      <c r="F43" s="86"/>
      <c r="G43" s="140"/>
    </row>
    <row r="44" spans="1:7" x14ac:dyDescent="0.25">
      <c r="A44" s="85">
        <v>1998</v>
      </c>
      <c r="B44" s="33">
        <v>4.3614006045775158</v>
      </c>
      <c r="C44" s="86">
        <v>2.6931157321461967</v>
      </c>
      <c r="D44" s="87">
        <v>2.5792220175816714</v>
      </c>
      <c r="E44" s="139"/>
      <c r="F44" s="86"/>
      <c r="G44" s="140"/>
    </row>
    <row r="45" spans="1:7" x14ac:dyDescent="0.25">
      <c r="A45" s="85">
        <v>1999</v>
      </c>
      <c r="B45" s="33">
        <v>4.3779084835569888</v>
      </c>
      <c r="C45" s="86">
        <v>2.7577927845370853</v>
      </c>
      <c r="D45" s="87">
        <v>2.6252790966251762</v>
      </c>
      <c r="E45" s="139"/>
      <c r="F45" s="86"/>
      <c r="G45" s="140"/>
    </row>
    <row r="46" spans="1:7" x14ac:dyDescent="0.25">
      <c r="A46" s="85">
        <v>2000</v>
      </c>
      <c r="B46" s="33">
        <v>4.3106803901272723</v>
      </c>
      <c r="C46" s="86">
        <v>2.7026745156206546</v>
      </c>
      <c r="D46" s="87">
        <v>2.6190772944641605</v>
      </c>
      <c r="E46" s="139"/>
      <c r="F46" s="86"/>
      <c r="G46" s="140"/>
    </row>
    <row r="47" spans="1:7" x14ac:dyDescent="0.25">
      <c r="A47" s="85">
        <v>2001</v>
      </c>
      <c r="B47" s="33">
        <v>4.3717696006051661</v>
      </c>
      <c r="C47" s="86">
        <v>2.7201290256419819</v>
      </c>
      <c r="D47" s="87">
        <v>2.6393572598974577</v>
      </c>
      <c r="E47" s="139"/>
      <c r="F47" s="86"/>
      <c r="G47" s="140"/>
    </row>
    <row r="48" spans="1:7" x14ac:dyDescent="0.25">
      <c r="A48" s="85">
        <v>2002</v>
      </c>
      <c r="B48" s="33">
        <v>4.3927944592931372</v>
      </c>
      <c r="C48" s="86">
        <v>2.6643076318595993</v>
      </c>
      <c r="D48" s="87">
        <v>2.5746038013288315</v>
      </c>
      <c r="E48" s="139"/>
      <c r="F48" s="86"/>
      <c r="G48" s="140"/>
    </row>
    <row r="49" spans="1:7" x14ac:dyDescent="0.25">
      <c r="A49" s="85">
        <v>2003</v>
      </c>
      <c r="B49" s="33">
        <v>4.4186850723667996</v>
      </c>
      <c r="C49" s="86">
        <v>2.6721800603473582</v>
      </c>
      <c r="D49" s="87">
        <v>2.6273766550359303</v>
      </c>
      <c r="E49" s="139"/>
      <c r="F49" s="86"/>
      <c r="G49" s="140"/>
    </row>
    <row r="50" spans="1:7" x14ac:dyDescent="0.25">
      <c r="A50" s="85">
        <v>2004</v>
      </c>
      <c r="B50" s="33">
        <v>4.9222274177577292</v>
      </c>
      <c r="C50" s="86">
        <v>2.899867656313627</v>
      </c>
      <c r="D50" s="87">
        <v>2.6404283484480273</v>
      </c>
      <c r="E50" s="139"/>
      <c r="F50" s="86"/>
      <c r="G50" s="140"/>
    </row>
    <row r="51" spans="1:7" x14ac:dyDescent="0.25">
      <c r="A51" s="85">
        <v>2005</v>
      </c>
      <c r="B51" s="33">
        <v>4.8016784694773822</v>
      </c>
      <c r="C51" s="86">
        <v>2.8291895648357275</v>
      </c>
      <c r="D51" s="87">
        <v>2.7124072978752447</v>
      </c>
      <c r="E51" s="139"/>
      <c r="F51" s="86"/>
      <c r="G51" s="140"/>
    </row>
    <row r="52" spans="1:7" x14ac:dyDescent="0.25">
      <c r="A52" s="85">
        <v>2006</v>
      </c>
      <c r="B52" s="33">
        <v>4.7777748039504324</v>
      </c>
      <c r="C52" s="86">
        <v>2.8087885370186259</v>
      </c>
      <c r="D52" s="87">
        <v>2.7177122368276283</v>
      </c>
      <c r="E52" s="139"/>
      <c r="F52" s="86"/>
      <c r="G52" s="140"/>
    </row>
    <row r="53" spans="1:7" x14ac:dyDescent="0.25">
      <c r="A53" s="85">
        <v>2007</v>
      </c>
      <c r="B53" s="33">
        <v>4.9502623674140915</v>
      </c>
      <c r="C53" s="86">
        <v>2.8177765496914433</v>
      </c>
      <c r="D53" s="87">
        <v>2.7922143253318197</v>
      </c>
      <c r="E53" s="139"/>
      <c r="F53" s="86"/>
      <c r="G53" s="140"/>
    </row>
    <row r="54" spans="1:7" x14ac:dyDescent="0.25">
      <c r="A54" s="85">
        <v>2008</v>
      </c>
      <c r="B54" s="33">
        <v>5.0545415544185284</v>
      </c>
      <c r="C54" s="86">
        <v>3.0403808302384197</v>
      </c>
      <c r="D54" s="87">
        <v>2.8362083678358543</v>
      </c>
      <c r="E54" s="139"/>
      <c r="F54" s="86"/>
      <c r="G54" s="140"/>
    </row>
    <row r="55" spans="1:7" x14ac:dyDescent="0.25">
      <c r="A55" s="85">
        <v>2009</v>
      </c>
      <c r="B55" s="33">
        <v>5.2067740603056585</v>
      </c>
      <c r="C55" s="86">
        <v>3.0386412246868093</v>
      </c>
      <c r="D55" s="87">
        <v>2.8262933049810735</v>
      </c>
      <c r="E55" s="139"/>
      <c r="F55" s="86"/>
      <c r="G55" s="140"/>
    </row>
    <row r="56" spans="1:7" x14ac:dyDescent="0.25">
      <c r="A56" s="85">
        <v>2010</v>
      </c>
      <c r="B56" s="33">
        <v>5.0994845868083747</v>
      </c>
      <c r="C56" s="86">
        <v>2.9821749166452935</v>
      </c>
      <c r="D56" s="87">
        <v>2.848902892863256</v>
      </c>
      <c r="E56" s="139"/>
      <c r="F56" s="86"/>
      <c r="G56" s="140"/>
    </row>
    <row r="57" spans="1:7" x14ac:dyDescent="0.25">
      <c r="A57" s="84">
        <v>2011</v>
      </c>
      <c r="B57" s="89">
        <v>5.1881676692220449</v>
      </c>
      <c r="C57" s="89">
        <v>3.133794366552987</v>
      </c>
      <c r="D57" s="90">
        <v>2.9205922531177015</v>
      </c>
      <c r="E57" s="139"/>
      <c r="F57" s="86"/>
      <c r="G57" s="140"/>
    </row>
    <row r="58" spans="1:7" x14ac:dyDescent="0.25">
      <c r="A58" s="85"/>
    </row>
    <row r="59" spans="1:7" ht="31.5" customHeight="1" x14ac:dyDescent="0.25">
      <c r="A59" s="268" t="s">
        <v>161</v>
      </c>
      <c r="B59" s="268"/>
      <c r="C59" s="268"/>
      <c r="D59" s="268"/>
      <c r="E59" s="268"/>
      <c r="F59" s="268"/>
    </row>
    <row r="60" spans="1:7" x14ac:dyDescent="0.25">
      <c r="A60" s="268"/>
      <c r="B60" s="268"/>
      <c r="C60" s="268"/>
      <c r="D60" s="268"/>
      <c r="E60" s="268"/>
      <c r="F60" s="268"/>
    </row>
    <row r="61" spans="1:7" x14ac:dyDescent="0.25">
      <c r="A61" s="85"/>
    </row>
    <row r="62" spans="1:7" x14ac:dyDescent="0.25">
      <c r="A62" s="259" t="s">
        <v>164</v>
      </c>
      <c r="B62" s="259"/>
      <c r="C62" s="259"/>
      <c r="D62" s="259"/>
      <c r="E62" s="259"/>
      <c r="F62" s="259"/>
    </row>
    <row r="63" spans="1:7" x14ac:dyDescent="0.25">
      <c r="A63" s="259"/>
      <c r="B63" s="259"/>
      <c r="C63" s="259"/>
      <c r="D63" s="259"/>
      <c r="E63" s="259"/>
      <c r="F63" s="259"/>
    </row>
    <row r="64" spans="1:7" x14ac:dyDescent="0.25">
      <c r="A64" s="259"/>
      <c r="B64" s="259"/>
      <c r="C64" s="259"/>
      <c r="D64" s="259"/>
      <c r="E64" s="259"/>
      <c r="F64" s="259"/>
    </row>
    <row r="65" spans="1:6" x14ac:dyDescent="0.25">
      <c r="A65" s="259"/>
      <c r="B65" s="259"/>
      <c r="C65" s="259"/>
      <c r="D65" s="259"/>
      <c r="E65" s="259"/>
      <c r="F65" s="259"/>
    </row>
  </sheetData>
  <mergeCells count="3">
    <mergeCell ref="B4:D4"/>
    <mergeCell ref="A62:F65"/>
    <mergeCell ref="A59:F60"/>
  </mergeCells>
  <pageMargins left="0.7" right="0.7" top="0.75" bottom="0.75" header="0.3" footer="0.3"/>
  <pageSetup scale="83" orientation="portrait"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L29"/>
  <sheetViews>
    <sheetView zoomScaleNormal="100" zoomScaleSheetLayoutView="100" workbookViewId="0"/>
  </sheetViews>
  <sheetFormatPr defaultColWidth="8.85546875" defaultRowHeight="12.75" x14ac:dyDescent="0.25"/>
  <cols>
    <col min="1" max="1" width="8.85546875" style="230"/>
    <col min="2" max="2" width="14.7109375" style="230" customWidth="1"/>
    <col min="3" max="3" width="11" style="231" customWidth="1"/>
    <col min="4" max="4" width="11.140625" style="230" customWidth="1"/>
    <col min="5" max="5" width="14.7109375" style="230" customWidth="1"/>
    <col min="6" max="6" width="10.85546875" style="231" customWidth="1"/>
    <col min="7" max="7" width="8.85546875" style="230"/>
    <col min="8" max="8" width="14.7109375" style="230" customWidth="1"/>
    <col min="9" max="9" width="10.85546875" style="231" customWidth="1"/>
    <col min="10" max="10" width="8.85546875" style="230"/>
    <col min="11" max="11" width="14.7109375" style="230" customWidth="1"/>
    <col min="12" max="12" width="10.85546875" style="230" customWidth="1"/>
    <col min="13" max="257" width="8.85546875" style="230"/>
    <col min="258" max="258" width="13.7109375" style="230" customWidth="1"/>
    <col min="259" max="259" width="11" style="230" customWidth="1"/>
    <col min="260" max="260" width="11.140625" style="230" customWidth="1"/>
    <col min="261" max="261" width="13.7109375" style="230" customWidth="1"/>
    <col min="262" max="262" width="10.85546875" style="230" customWidth="1"/>
    <col min="263" max="263" width="8.85546875" style="230"/>
    <col min="264" max="264" width="13.7109375" style="230" customWidth="1"/>
    <col min="265" max="265" width="10.85546875" style="230" customWidth="1"/>
    <col min="266" max="266" width="8.85546875" style="230"/>
    <col min="267" max="267" width="13.7109375" style="230" customWidth="1"/>
    <col min="268" max="268" width="10.85546875" style="230" customWidth="1"/>
    <col min="269" max="513" width="8.85546875" style="230"/>
    <col min="514" max="514" width="13.7109375" style="230" customWidth="1"/>
    <col min="515" max="515" width="11" style="230" customWidth="1"/>
    <col min="516" max="516" width="11.140625" style="230" customWidth="1"/>
    <col min="517" max="517" width="13.7109375" style="230" customWidth="1"/>
    <col min="518" max="518" width="10.85546875" style="230" customWidth="1"/>
    <col min="519" max="519" width="8.85546875" style="230"/>
    <col min="520" max="520" width="13.7109375" style="230" customWidth="1"/>
    <col min="521" max="521" width="10.85546875" style="230" customWidth="1"/>
    <col min="522" max="522" width="8.85546875" style="230"/>
    <col min="523" max="523" width="13.7109375" style="230" customWidth="1"/>
    <col min="524" max="524" width="10.85546875" style="230" customWidth="1"/>
    <col min="525" max="769" width="8.85546875" style="230"/>
    <col min="770" max="770" width="13.7109375" style="230" customWidth="1"/>
    <col min="771" max="771" width="11" style="230" customWidth="1"/>
    <col min="772" max="772" width="11.140625" style="230" customWidth="1"/>
    <col min="773" max="773" width="13.7109375" style="230" customWidth="1"/>
    <col min="774" max="774" width="10.85546875" style="230" customWidth="1"/>
    <col min="775" max="775" width="8.85546875" style="230"/>
    <col min="776" max="776" width="13.7109375" style="230" customWidth="1"/>
    <col min="777" max="777" width="10.85546875" style="230" customWidth="1"/>
    <col min="778" max="778" width="8.85546875" style="230"/>
    <col min="779" max="779" width="13.7109375" style="230" customWidth="1"/>
    <col min="780" max="780" width="10.85546875" style="230" customWidth="1"/>
    <col min="781" max="1025" width="8.85546875" style="230"/>
    <col min="1026" max="1026" width="13.7109375" style="230" customWidth="1"/>
    <col min="1027" max="1027" width="11" style="230" customWidth="1"/>
    <col min="1028" max="1028" width="11.140625" style="230" customWidth="1"/>
    <col min="1029" max="1029" width="13.7109375" style="230" customWidth="1"/>
    <col min="1030" max="1030" width="10.85546875" style="230" customWidth="1"/>
    <col min="1031" max="1031" width="8.85546875" style="230"/>
    <col min="1032" max="1032" width="13.7109375" style="230" customWidth="1"/>
    <col min="1033" max="1033" width="10.85546875" style="230" customWidth="1"/>
    <col min="1034" max="1034" width="8.85546875" style="230"/>
    <col min="1035" max="1035" width="13.7109375" style="230" customWidth="1"/>
    <col min="1036" max="1036" width="10.85546875" style="230" customWidth="1"/>
    <col min="1037" max="1281" width="8.85546875" style="230"/>
    <col min="1282" max="1282" width="13.7109375" style="230" customWidth="1"/>
    <col min="1283" max="1283" width="11" style="230" customWidth="1"/>
    <col min="1284" max="1284" width="11.140625" style="230" customWidth="1"/>
    <col min="1285" max="1285" width="13.7109375" style="230" customWidth="1"/>
    <col min="1286" max="1286" width="10.85546875" style="230" customWidth="1"/>
    <col min="1287" max="1287" width="8.85546875" style="230"/>
    <col min="1288" max="1288" width="13.7109375" style="230" customWidth="1"/>
    <col min="1289" max="1289" width="10.85546875" style="230" customWidth="1"/>
    <col min="1290" max="1290" width="8.85546875" style="230"/>
    <col min="1291" max="1291" width="13.7109375" style="230" customWidth="1"/>
    <col min="1292" max="1292" width="10.85546875" style="230" customWidth="1"/>
    <col min="1293" max="1537" width="8.85546875" style="230"/>
    <col min="1538" max="1538" width="13.7109375" style="230" customWidth="1"/>
    <col min="1539" max="1539" width="11" style="230" customWidth="1"/>
    <col min="1540" max="1540" width="11.140625" style="230" customWidth="1"/>
    <col min="1541" max="1541" width="13.7109375" style="230" customWidth="1"/>
    <col min="1542" max="1542" width="10.85546875" style="230" customWidth="1"/>
    <col min="1543" max="1543" width="8.85546875" style="230"/>
    <col min="1544" max="1544" width="13.7109375" style="230" customWidth="1"/>
    <col min="1545" max="1545" width="10.85546875" style="230" customWidth="1"/>
    <col min="1546" max="1546" width="8.85546875" style="230"/>
    <col min="1547" max="1547" width="13.7109375" style="230" customWidth="1"/>
    <col min="1548" max="1548" width="10.85546875" style="230" customWidth="1"/>
    <col min="1549" max="1793" width="8.85546875" style="230"/>
    <col min="1794" max="1794" width="13.7109375" style="230" customWidth="1"/>
    <col min="1795" max="1795" width="11" style="230" customWidth="1"/>
    <col min="1796" max="1796" width="11.140625" style="230" customWidth="1"/>
    <col min="1797" max="1797" width="13.7109375" style="230" customWidth="1"/>
    <col min="1798" max="1798" width="10.85546875" style="230" customWidth="1"/>
    <col min="1799" max="1799" width="8.85546875" style="230"/>
    <col min="1800" max="1800" width="13.7109375" style="230" customWidth="1"/>
    <col min="1801" max="1801" width="10.85546875" style="230" customWidth="1"/>
    <col min="1802" max="1802" width="8.85546875" style="230"/>
    <col min="1803" max="1803" width="13.7109375" style="230" customWidth="1"/>
    <col min="1804" max="1804" width="10.85546875" style="230" customWidth="1"/>
    <col min="1805" max="2049" width="8.85546875" style="230"/>
    <col min="2050" max="2050" width="13.7109375" style="230" customWidth="1"/>
    <col min="2051" max="2051" width="11" style="230" customWidth="1"/>
    <col min="2052" max="2052" width="11.140625" style="230" customWidth="1"/>
    <col min="2053" max="2053" width="13.7109375" style="230" customWidth="1"/>
    <col min="2054" max="2054" width="10.85546875" style="230" customWidth="1"/>
    <col min="2055" max="2055" width="8.85546875" style="230"/>
    <col min="2056" max="2056" width="13.7109375" style="230" customWidth="1"/>
    <col min="2057" max="2057" width="10.85546875" style="230" customWidth="1"/>
    <col min="2058" max="2058" width="8.85546875" style="230"/>
    <col min="2059" max="2059" width="13.7109375" style="230" customWidth="1"/>
    <col min="2060" max="2060" width="10.85546875" style="230" customWidth="1"/>
    <col min="2061" max="2305" width="8.85546875" style="230"/>
    <col min="2306" max="2306" width="13.7109375" style="230" customWidth="1"/>
    <col min="2307" max="2307" width="11" style="230" customWidth="1"/>
    <col min="2308" max="2308" width="11.140625" style="230" customWidth="1"/>
    <col min="2309" max="2309" width="13.7109375" style="230" customWidth="1"/>
    <col min="2310" max="2310" width="10.85546875" style="230" customWidth="1"/>
    <col min="2311" max="2311" width="8.85546875" style="230"/>
    <col min="2312" max="2312" width="13.7109375" style="230" customWidth="1"/>
    <col min="2313" max="2313" width="10.85546875" style="230" customWidth="1"/>
    <col min="2314" max="2314" width="8.85546875" style="230"/>
    <col min="2315" max="2315" width="13.7109375" style="230" customWidth="1"/>
    <col min="2316" max="2316" width="10.85546875" style="230" customWidth="1"/>
    <col min="2317" max="2561" width="8.85546875" style="230"/>
    <col min="2562" max="2562" width="13.7109375" style="230" customWidth="1"/>
    <col min="2563" max="2563" width="11" style="230" customWidth="1"/>
    <col min="2564" max="2564" width="11.140625" style="230" customWidth="1"/>
    <col min="2565" max="2565" width="13.7109375" style="230" customWidth="1"/>
    <col min="2566" max="2566" width="10.85546875" style="230" customWidth="1"/>
    <col min="2567" max="2567" width="8.85546875" style="230"/>
    <col min="2568" max="2568" width="13.7109375" style="230" customWidth="1"/>
    <col min="2569" max="2569" width="10.85546875" style="230" customWidth="1"/>
    <col min="2570" max="2570" width="8.85546875" style="230"/>
    <col min="2571" max="2571" width="13.7109375" style="230" customWidth="1"/>
    <col min="2572" max="2572" width="10.85546875" style="230" customWidth="1"/>
    <col min="2573" max="2817" width="8.85546875" style="230"/>
    <col min="2818" max="2818" width="13.7109375" style="230" customWidth="1"/>
    <col min="2819" max="2819" width="11" style="230" customWidth="1"/>
    <col min="2820" max="2820" width="11.140625" style="230" customWidth="1"/>
    <col min="2821" max="2821" width="13.7109375" style="230" customWidth="1"/>
    <col min="2822" max="2822" width="10.85546875" style="230" customWidth="1"/>
    <col min="2823" max="2823" width="8.85546875" style="230"/>
    <col min="2824" max="2824" width="13.7109375" style="230" customWidth="1"/>
    <col min="2825" max="2825" width="10.85546875" style="230" customWidth="1"/>
    <col min="2826" max="2826" width="8.85546875" style="230"/>
    <col min="2827" max="2827" width="13.7109375" style="230" customWidth="1"/>
    <col min="2828" max="2828" width="10.85546875" style="230" customWidth="1"/>
    <col min="2829" max="3073" width="8.85546875" style="230"/>
    <col min="3074" max="3074" width="13.7109375" style="230" customWidth="1"/>
    <col min="3075" max="3075" width="11" style="230" customWidth="1"/>
    <col min="3076" max="3076" width="11.140625" style="230" customWidth="1"/>
    <col min="3077" max="3077" width="13.7109375" style="230" customWidth="1"/>
    <col min="3078" max="3078" width="10.85546875" style="230" customWidth="1"/>
    <col min="3079" max="3079" width="8.85546875" style="230"/>
    <col min="3080" max="3080" width="13.7109375" style="230" customWidth="1"/>
    <col min="3081" max="3081" width="10.85546875" style="230" customWidth="1"/>
    <col min="3082" max="3082" width="8.85546875" style="230"/>
    <col min="3083" max="3083" width="13.7109375" style="230" customWidth="1"/>
    <col min="3084" max="3084" width="10.85546875" style="230" customWidth="1"/>
    <col min="3085" max="3329" width="8.85546875" style="230"/>
    <col min="3330" max="3330" width="13.7109375" style="230" customWidth="1"/>
    <col min="3331" max="3331" width="11" style="230" customWidth="1"/>
    <col min="3332" max="3332" width="11.140625" style="230" customWidth="1"/>
    <col min="3333" max="3333" width="13.7109375" style="230" customWidth="1"/>
    <col min="3334" max="3334" width="10.85546875" style="230" customWidth="1"/>
    <col min="3335" max="3335" width="8.85546875" style="230"/>
    <col min="3336" max="3336" width="13.7109375" style="230" customWidth="1"/>
    <col min="3337" max="3337" width="10.85546875" style="230" customWidth="1"/>
    <col min="3338" max="3338" width="8.85546875" style="230"/>
    <col min="3339" max="3339" width="13.7109375" style="230" customWidth="1"/>
    <col min="3340" max="3340" width="10.85546875" style="230" customWidth="1"/>
    <col min="3341" max="3585" width="8.85546875" style="230"/>
    <col min="3586" max="3586" width="13.7109375" style="230" customWidth="1"/>
    <col min="3587" max="3587" width="11" style="230" customWidth="1"/>
    <col min="3588" max="3588" width="11.140625" style="230" customWidth="1"/>
    <col min="3589" max="3589" width="13.7109375" style="230" customWidth="1"/>
    <col min="3590" max="3590" width="10.85546875" style="230" customWidth="1"/>
    <col min="3591" max="3591" width="8.85546875" style="230"/>
    <col min="3592" max="3592" width="13.7109375" style="230" customWidth="1"/>
    <col min="3593" max="3593" width="10.85546875" style="230" customWidth="1"/>
    <col min="3594" max="3594" width="8.85546875" style="230"/>
    <col min="3595" max="3595" width="13.7109375" style="230" customWidth="1"/>
    <col min="3596" max="3596" width="10.85546875" style="230" customWidth="1"/>
    <col min="3597" max="3841" width="8.85546875" style="230"/>
    <col min="3842" max="3842" width="13.7109375" style="230" customWidth="1"/>
    <col min="3843" max="3843" width="11" style="230" customWidth="1"/>
    <col min="3844" max="3844" width="11.140625" style="230" customWidth="1"/>
    <col min="3845" max="3845" width="13.7109375" style="230" customWidth="1"/>
    <col min="3846" max="3846" width="10.85546875" style="230" customWidth="1"/>
    <col min="3847" max="3847" width="8.85546875" style="230"/>
    <col min="3848" max="3848" width="13.7109375" style="230" customWidth="1"/>
    <col min="3849" max="3849" width="10.85546875" style="230" customWidth="1"/>
    <col min="3850" max="3850" width="8.85546875" style="230"/>
    <col min="3851" max="3851" width="13.7109375" style="230" customWidth="1"/>
    <col min="3852" max="3852" width="10.85546875" style="230" customWidth="1"/>
    <col min="3853" max="4097" width="8.85546875" style="230"/>
    <col min="4098" max="4098" width="13.7109375" style="230" customWidth="1"/>
    <col min="4099" max="4099" width="11" style="230" customWidth="1"/>
    <col min="4100" max="4100" width="11.140625" style="230" customWidth="1"/>
    <col min="4101" max="4101" width="13.7109375" style="230" customWidth="1"/>
    <col min="4102" max="4102" width="10.85546875" style="230" customWidth="1"/>
    <col min="4103" max="4103" width="8.85546875" style="230"/>
    <col min="4104" max="4104" width="13.7109375" style="230" customWidth="1"/>
    <col min="4105" max="4105" width="10.85546875" style="230" customWidth="1"/>
    <col min="4106" max="4106" width="8.85546875" style="230"/>
    <col min="4107" max="4107" width="13.7109375" style="230" customWidth="1"/>
    <col min="4108" max="4108" width="10.85546875" style="230" customWidth="1"/>
    <col min="4109" max="4353" width="8.85546875" style="230"/>
    <col min="4354" max="4354" width="13.7109375" style="230" customWidth="1"/>
    <col min="4355" max="4355" width="11" style="230" customWidth="1"/>
    <col min="4356" max="4356" width="11.140625" style="230" customWidth="1"/>
    <col min="4357" max="4357" width="13.7109375" style="230" customWidth="1"/>
    <col min="4358" max="4358" width="10.85546875" style="230" customWidth="1"/>
    <col min="4359" max="4359" width="8.85546875" style="230"/>
    <col min="4360" max="4360" width="13.7109375" style="230" customWidth="1"/>
    <col min="4361" max="4361" width="10.85546875" style="230" customWidth="1"/>
    <col min="4362" max="4362" width="8.85546875" style="230"/>
    <col min="4363" max="4363" width="13.7109375" style="230" customWidth="1"/>
    <col min="4364" max="4364" width="10.85546875" style="230" customWidth="1"/>
    <col min="4365" max="4609" width="8.85546875" style="230"/>
    <col min="4610" max="4610" width="13.7109375" style="230" customWidth="1"/>
    <col min="4611" max="4611" width="11" style="230" customWidth="1"/>
    <col min="4612" max="4612" width="11.140625" style="230" customWidth="1"/>
    <col min="4613" max="4613" width="13.7109375" style="230" customWidth="1"/>
    <col min="4614" max="4614" width="10.85546875" style="230" customWidth="1"/>
    <col min="4615" max="4615" width="8.85546875" style="230"/>
    <col min="4616" max="4616" width="13.7109375" style="230" customWidth="1"/>
    <col min="4617" max="4617" width="10.85546875" style="230" customWidth="1"/>
    <col min="4618" max="4618" width="8.85546875" style="230"/>
    <col min="4619" max="4619" width="13.7109375" style="230" customWidth="1"/>
    <col min="4620" max="4620" width="10.85546875" style="230" customWidth="1"/>
    <col min="4621" max="4865" width="8.85546875" style="230"/>
    <col min="4866" max="4866" width="13.7109375" style="230" customWidth="1"/>
    <col min="4867" max="4867" width="11" style="230" customWidth="1"/>
    <col min="4868" max="4868" width="11.140625" style="230" customWidth="1"/>
    <col min="4869" max="4869" width="13.7109375" style="230" customWidth="1"/>
    <col min="4870" max="4870" width="10.85546875" style="230" customWidth="1"/>
    <col min="4871" max="4871" width="8.85546875" style="230"/>
    <col min="4872" max="4872" width="13.7109375" style="230" customWidth="1"/>
    <col min="4873" max="4873" width="10.85546875" style="230" customWidth="1"/>
    <col min="4874" max="4874" width="8.85546875" style="230"/>
    <col min="4875" max="4875" width="13.7109375" style="230" customWidth="1"/>
    <col min="4876" max="4876" width="10.85546875" style="230" customWidth="1"/>
    <col min="4877" max="5121" width="8.85546875" style="230"/>
    <col min="5122" max="5122" width="13.7109375" style="230" customWidth="1"/>
    <col min="5123" max="5123" width="11" style="230" customWidth="1"/>
    <col min="5124" max="5124" width="11.140625" style="230" customWidth="1"/>
    <col min="5125" max="5125" width="13.7109375" style="230" customWidth="1"/>
    <col min="5126" max="5126" width="10.85546875" style="230" customWidth="1"/>
    <col min="5127" max="5127" width="8.85546875" style="230"/>
    <col min="5128" max="5128" width="13.7109375" style="230" customWidth="1"/>
    <col min="5129" max="5129" width="10.85546875" style="230" customWidth="1"/>
    <col min="5130" max="5130" width="8.85546875" style="230"/>
    <col min="5131" max="5131" width="13.7109375" style="230" customWidth="1"/>
    <col min="5132" max="5132" width="10.85546875" style="230" customWidth="1"/>
    <col min="5133" max="5377" width="8.85546875" style="230"/>
    <col min="5378" max="5378" width="13.7109375" style="230" customWidth="1"/>
    <col min="5379" max="5379" width="11" style="230" customWidth="1"/>
    <col min="5380" max="5380" width="11.140625" style="230" customWidth="1"/>
    <col min="5381" max="5381" width="13.7109375" style="230" customWidth="1"/>
    <col min="5382" max="5382" width="10.85546875" style="230" customWidth="1"/>
    <col min="5383" max="5383" width="8.85546875" style="230"/>
    <col min="5384" max="5384" width="13.7109375" style="230" customWidth="1"/>
    <col min="5385" max="5385" width="10.85546875" style="230" customWidth="1"/>
    <col min="5386" max="5386" width="8.85546875" style="230"/>
    <col min="5387" max="5387" width="13.7109375" style="230" customWidth="1"/>
    <col min="5388" max="5388" width="10.85546875" style="230" customWidth="1"/>
    <col min="5389" max="5633" width="8.85546875" style="230"/>
    <col min="5634" max="5634" width="13.7109375" style="230" customWidth="1"/>
    <col min="5635" max="5635" width="11" style="230" customWidth="1"/>
    <col min="5636" max="5636" width="11.140625" style="230" customWidth="1"/>
    <col min="5637" max="5637" width="13.7109375" style="230" customWidth="1"/>
    <col min="5638" max="5638" width="10.85546875" style="230" customWidth="1"/>
    <col min="5639" max="5639" width="8.85546875" style="230"/>
    <col min="5640" max="5640" width="13.7109375" style="230" customWidth="1"/>
    <col min="5641" max="5641" width="10.85546875" style="230" customWidth="1"/>
    <col min="5642" max="5642" width="8.85546875" style="230"/>
    <col min="5643" max="5643" width="13.7109375" style="230" customWidth="1"/>
    <col min="5644" max="5644" width="10.85546875" style="230" customWidth="1"/>
    <col min="5645" max="5889" width="8.85546875" style="230"/>
    <col min="5890" max="5890" width="13.7109375" style="230" customWidth="1"/>
    <col min="5891" max="5891" width="11" style="230" customWidth="1"/>
    <col min="5892" max="5892" width="11.140625" style="230" customWidth="1"/>
    <col min="5893" max="5893" width="13.7109375" style="230" customWidth="1"/>
    <col min="5894" max="5894" width="10.85546875" style="230" customWidth="1"/>
    <col min="5895" max="5895" width="8.85546875" style="230"/>
    <col min="5896" max="5896" width="13.7109375" style="230" customWidth="1"/>
    <col min="5897" max="5897" width="10.85546875" style="230" customWidth="1"/>
    <col min="5898" max="5898" width="8.85546875" style="230"/>
    <col min="5899" max="5899" width="13.7109375" style="230" customWidth="1"/>
    <col min="5900" max="5900" width="10.85546875" style="230" customWidth="1"/>
    <col min="5901" max="6145" width="8.85546875" style="230"/>
    <col min="6146" max="6146" width="13.7109375" style="230" customWidth="1"/>
    <col min="6147" max="6147" width="11" style="230" customWidth="1"/>
    <col min="6148" max="6148" width="11.140625" style="230" customWidth="1"/>
    <col min="6149" max="6149" width="13.7109375" style="230" customWidth="1"/>
    <col min="6150" max="6150" width="10.85546875" style="230" customWidth="1"/>
    <col min="6151" max="6151" width="8.85546875" style="230"/>
    <col min="6152" max="6152" width="13.7109375" style="230" customWidth="1"/>
    <col min="6153" max="6153" width="10.85546875" style="230" customWidth="1"/>
    <col min="6154" max="6154" width="8.85546875" style="230"/>
    <col min="6155" max="6155" width="13.7109375" style="230" customWidth="1"/>
    <col min="6156" max="6156" width="10.85546875" style="230" customWidth="1"/>
    <col min="6157" max="6401" width="8.85546875" style="230"/>
    <col min="6402" max="6402" width="13.7109375" style="230" customWidth="1"/>
    <col min="6403" max="6403" width="11" style="230" customWidth="1"/>
    <col min="6404" max="6404" width="11.140625" style="230" customWidth="1"/>
    <col min="6405" max="6405" width="13.7109375" style="230" customWidth="1"/>
    <col min="6406" max="6406" width="10.85546875" style="230" customWidth="1"/>
    <col min="6407" max="6407" width="8.85546875" style="230"/>
    <col min="6408" max="6408" width="13.7109375" style="230" customWidth="1"/>
    <col min="6409" max="6409" width="10.85546875" style="230" customWidth="1"/>
    <col min="6410" max="6410" width="8.85546875" style="230"/>
    <col min="6411" max="6411" width="13.7109375" style="230" customWidth="1"/>
    <col min="6412" max="6412" width="10.85546875" style="230" customWidth="1"/>
    <col min="6413" max="6657" width="8.85546875" style="230"/>
    <col min="6658" max="6658" width="13.7109375" style="230" customWidth="1"/>
    <col min="6659" max="6659" width="11" style="230" customWidth="1"/>
    <col min="6660" max="6660" width="11.140625" style="230" customWidth="1"/>
    <col min="6661" max="6661" width="13.7109375" style="230" customWidth="1"/>
    <col min="6662" max="6662" width="10.85546875" style="230" customWidth="1"/>
    <col min="6663" max="6663" width="8.85546875" style="230"/>
    <col min="6664" max="6664" width="13.7109375" style="230" customWidth="1"/>
    <col min="6665" max="6665" width="10.85546875" style="230" customWidth="1"/>
    <col min="6666" max="6666" width="8.85546875" style="230"/>
    <col min="6667" max="6667" width="13.7109375" style="230" customWidth="1"/>
    <col min="6668" max="6668" width="10.85546875" style="230" customWidth="1"/>
    <col min="6669" max="6913" width="8.85546875" style="230"/>
    <col min="6914" max="6914" width="13.7109375" style="230" customWidth="1"/>
    <col min="6915" max="6915" width="11" style="230" customWidth="1"/>
    <col min="6916" max="6916" width="11.140625" style="230" customWidth="1"/>
    <col min="6917" max="6917" width="13.7109375" style="230" customWidth="1"/>
    <col min="6918" max="6918" width="10.85546875" style="230" customWidth="1"/>
    <col min="6919" max="6919" width="8.85546875" style="230"/>
    <col min="6920" max="6920" width="13.7109375" style="230" customWidth="1"/>
    <col min="6921" max="6921" width="10.85546875" style="230" customWidth="1"/>
    <col min="6922" max="6922" width="8.85546875" style="230"/>
    <col min="6923" max="6923" width="13.7109375" style="230" customWidth="1"/>
    <col min="6924" max="6924" width="10.85546875" style="230" customWidth="1"/>
    <col min="6925" max="7169" width="8.85546875" style="230"/>
    <col min="7170" max="7170" width="13.7109375" style="230" customWidth="1"/>
    <col min="7171" max="7171" width="11" style="230" customWidth="1"/>
    <col min="7172" max="7172" width="11.140625" style="230" customWidth="1"/>
    <col min="7173" max="7173" width="13.7109375" style="230" customWidth="1"/>
    <col min="7174" max="7174" width="10.85546875" style="230" customWidth="1"/>
    <col min="7175" max="7175" width="8.85546875" style="230"/>
    <col min="7176" max="7176" width="13.7109375" style="230" customWidth="1"/>
    <col min="7177" max="7177" width="10.85546875" style="230" customWidth="1"/>
    <col min="7178" max="7178" width="8.85546875" style="230"/>
    <col min="7179" max="7179" width="13.7109375" style="230" customWidth="1"/>
    <col min="7180" max="7180" width="10.85546875" style="230" customWidth="1"/>
    <col min="7181" max="7425" width="8.85546875" style="230"/>
    <col min="7426" max="7426" width="13.7109375" style="230" customWidth="1"/>
    <col min="7427" max="7427" width="11" style="230" customWidth="1"/>
    <col min="7428" max="7428" width="11.140625" style="230" customWidth="1"/>
    <col min="7429" max="7429" width="13.7109375" style="230" customWidth="1"/>
    <col min="7430" max="7430" width="10.85546875" style="230" customWidth="1"/>
    <col min="7431" max="7431" width="8.85546875" style="230"/>
    <col min="7432" max="7432" width="13.7109375" style="230" customWidth="1"/>
    <col min="7433" max="7433" width="10.85546875" style="230" customWidth="1"/>
    <col min="7434" max="7434" width="8.85546875" style="230"/>
    <col min="7435" max="7435" width="13.7109375" style="230" customWidth="1"/>
    <col min="7436" max="7436" width="10.85546875" style="230" customWidth="1"/>
    <col min="7437" max="7681" width="8.85546875" style="230"/>
    <col min="7682" max="7682" width="13.7109375" style="230" customWidth="1"/>
    <col min="7683" max="7683" width="11" style="230" customWidth="1"/>
    <col min="7684" max="7684" width="11.140625" style="230" customWidth="1"/>
    <col min="7685" max="7685" width="13.7109375" style="230" customWidth="1"/>
    <col min="7686" max="7686" width="10.85546875" style="230" customWidth="1"/>
    <col min="7687" max="7687" width="8.85546875" style="230"/>
    <col min="7688" max="7688" width="13.7109375" style="230" customWidth="1"/>
    <col min="7689" max="7689" width="10.85546875" style="230" customWidth="1"/>
    <col min="7690" max="7690" width="8.85546875" style="230"/>
    <col min="7691" max="7691" width="13.7109375" style="230" customWidth="1"/>
    <col min="7692" max="7692" width="10.85546875" style="230" customWidth="1"/>
    <col min="7693" max="7937" width="8.85546875" style="230"/>
    <col min="7938" max="7938" width="13.7109375" style="230" customWidth="1"/>
    <col min="7939" max="7939" width="11" style="230" customWidth="1"/>
    <col min="7940" max="7940" width="11.140625" style="230" customWidth="1"/>
    <col min="7941" max="7941" width="13.7109375" style="230" customWidth="1"/>
    <col min="7942" max="7942" width="10.85546875" style="230" customWidth="1"/>
    <col min="7943" max="7943" width="8.85546875" style="230"/>
    <col min="7944" max="7944" width="13.7109375" style="230" customWidth="1"/>
    <col min="7945" max="7945" width="10.85546875" style="230" customWidth="1"/>
    <col min="7946" max="7946" width="8.85546875" style="230"/>
    <col min="7947" max="7947" width="13.7109375" style="230" customWidth="1"/>
    <col min="7948" max="7948" width="10.85546875" style="230" customWidth="1"/>
    <col min="7949" max="8193" width="8.85546875" style="230"/>
    <col min="8194" max="8194" width="13.7109375" style="230" customWidth="1"/>
    <col min="8195" max="8195" width="11" style="230" customWidth="1"/>
    <col min="8196" max="8196" width="11.140625" style="230" customWidth="1"/>
    <col min="8197" max="8197" width="13.7109375" style="230" customWidth="1"/>
    <col min="8198" max="8198" width="10.85546875" style="230" customWidth="1"/>
    <col min="8199" max="8199" width="8.85546875" style="230"/>
    <col min="8200" max="8200" width="13.7109375" style="230" customWidth="1"/>
    <col min="8201" max="8201" width="10.85546875" style="230" customWidth="1"/>
    <col min="8202" max="8202" width="8.85546875" style="230"/>
    <col min="8203" max="8203" width="13.7109375" style="230" customWidth="1"/>
    <col min="8204" max="8204" width="10.85546875" style="230" customWidth="1"/>
    <col min="8205" max="8449" width="8.85546875" style="230"/>
    <col min="8450" max="8450" width="13.7109375" style="230" customWidth="1"/>
    <col min="8451" max="8451" width="11" style="230" customWidth="1"/>
    <col min="8452" max="8452" width="11.140625" style="230" customWidth="1"/>
    <col min="8453" max="8453" width="13.7109375" style="230" customWidth="1"/>
    <col min="8454" max="8454" width="10.85546875" style="230" customWidth="1"/>
    <col min="8455" max="8455" width="8.85546875" style="230"/>
    <col min="8456" max="8456" width="13.7109375" style="230" customWidth="1"/>
    <col min="8457" max="8457" width="10.85546875" style="230" customWidth="1"/>
    <col min="8458" max="8458" width="8.85546875" style="230"/>
    <col min="8459" max="8459" width="13.7109375" style="230" customWidth="1"/>
    <col min="8460" max="8460" width="10.85546875" style="230" customWidth="1"/>
    <col min="8461" max="8705" width="8.85546875" style="230"/>
    <col min="8706" max="8706" width="13.7109375" style="230" customWidth="1"/>
    <col min="8707" max="8707" width="11" style="230" customWidth="1"/>
    <col min="8708" max="8708" width="11.140625" style="230" customWidth="1"/>
    <col min="8709" max="8709" width="13.7109375" style="230" customWidth="1"/>
    <col min="8710" max="8710" width="10.85546875" style="230" customWidth="1"/>
    <col min="8711" max="8711" width="8.85546875" style="230"/>
    <col min="8712" max="8712" width="13.7109375" style="230" customWidth="1"/>
    <col min="8713" max="8713" width="10.85546875" style="230" customWidth="1"/>
    <col min="8714" max="8714" width="8.85546875" style="230"/>
    <col min="8715" max="8715" width="13.7109375" style="230" customWidth="1"/>
    <col min="8716" max="8716" width="10.85546875" style="230" customWidth="1"/>
    <col min="8717" max="8961" width="8.85546875" style="230"/>
    <col min="8962" max="8962" width="13.7109375" style="230" customWidth="1"/>
    <col min="8963" max="8963" width="11" style="230" customWidth="1"/>
    <col min="8964" max="8964" width="11.140625" style="230" customWidth="1"/>
    <col min="8965" max="8965" width="13.7109375" style="230" customWidth="1"/>
    <col min="8966" max="8966" width="10.85546875" style="230" customWidth="1"/>
    <col min="8967" max="8967" width="8.85546875" style="230"/>
    <col min="8968" max="8968" width="13.7109375" style="230" customWidth="1"/>
    <col min="8969" max="8969" width="10.85546875" style="230" customWidth="1"/>
    <col min="8970" max="8970" width="8.85546875" style="230"/>
    <col min="8971" max="8971" width="13.7109375" style="230" customWidth="1"/>
    <col min="8972" max="8972" width="10.85546875" style="230" customWidth="1"/>
    <col min="8973" max="9217" width="8.85546875" style="230"/>
    <col min="9218" max="9218" width="13.7109375" style="230" customWidth="1"/>
    <col min="9219" max="9219" width="11" style="230" customWidth="1"/>
    <col min="9220" max="9220" width="11.140625" style="230" customWidth="1"/>
    <col min="9221" max="9221" width="13.7109375" style="230" customWidth="1"/>
    <col min="9222" max="9222" width="10.85546875" style="230" customWidth="1"/>
    <col min="9223" max="9223" width="8.85546875" style="230"/>
    <col min="9224" max="9224" width="13.7109375" style="230" customWidth="1"/>
    <col min="9225" max="9225" width="10.85546875" style="230" customWidth="1"/>
    <col min="9226" max="9226" width="8.85546875" style="230"/>
    <col min="9227" max="9227" width="13.7109375" style="230" customWidth="1"/>
    <col min="9228" max="9228" width="10.85546875" style="230" customWidth="1"/>
    <col min="9229" max="9473" width="8.85546875" style="230"/>
    <col min="9474" max="9474" width="13.7109375" style="230" customWidth="1"/>
    <col min="9475" max="9475" width="11" style="230" customWidth="1"/>
    <col min="9476" max="9476" width="11.140625" style="230" customWidth="1"/>
    <col min="9477" max="9477" width="13.7109375" style="230" customWidth="1"/>
    <col min="9478" max="9478" width="10.85546875" style="230" customWidth="1"/>
    <col min="9479" max="9479" width="8.85546875" style="230"/>
    <col min="9480" max="9480" width="13.7109375" style="230" customWidth="1"/>
    <col min="9481" max="9481" width="10.85546875" style="230" customWidth="1"/>
    <col min="9482" max="9482" width="8.85546875" style="230"/>
    <col min="9483" max="9483" width="13.7109375" style="230" customWidth="1"/>
    <col min="9484" max="9484" width="10.85546875" style="230" customWidth="1"/>
    <col min="9485" max="9729" width="8.85546875" style="230"/>
    <col min="9730" max="9730" width="13.7109375" style="230" customWidth="1"/>
    <col min="9731" max="9731" width="11" style="230" customWidth="1"/>
    <col min="9732" max="9732" width="11.140625" style="230" customWidth="1"/>
    <col min="9733" max="9733" width="13.7109375" style="230" customWidth="1"/>
    <col min="9734" max="9734" width="10.85546875" style="230" customWidth="1"/>
    <col min="9735" max="9735" width="8.85546875" style="230"/>
    <col min="9736" max="9736" width="13.7109375" style="230" customWidth="1"/>
    <col min="9737" max="9737" width="10.85546875" style="230" customWidth="1"/>
    <col min="9738" max="9738" width="8.85546875" style="230"/>
    <col min="9739" max="9739" width="13.7109375" style="230" customWidth="1"/>
    <col min="9740" max="9740" width="10.85546875" style="230" customWidth="1"/>
    <col min="9741" max="9985" width="8.85546875" style="230"/>
    <col min="9986" max="9986" width="13.7109375" style="230" customWidth="1"/>
    <col min="9987" max="9987" width="11" style="230" customWidth="1"/>
    <col min="9988" max="9988" width="11.140625" style="230" customWidth="1"/>
    <col min="9989" max="9989" width="13.7109375" style="230" customWidth="1"/>
    <col min="9990" max="9990" width="10.85546875" style="230" customWidth="1"/>
    <col min="9991" max="9991" width="8.85546875" style="230"/>
    <col min="9992" max="9992" width="13.7109375" style="230" customWidth="1"/>
    <col min="9993" max="9993" width="10.85546875" style="230" customWidth="1"/>
    <col min="9994" max="9994" width="8.85546875" style="230"/>
    <col min="9995" max="9995" width="13.7109375" style="230" customWidth="1"/>
    <col min="9996" max="9996" width="10.85546875" style="230" customWidth="1"/>
    <col min="9997" max="10241" width="8.85546875" style="230"/>
    <col min="10242" max="10242" width="13.7109375" style="230" customWidth="1"/>
    <col min="10243" max="10243" width="11" style="230" customWidth="1"/>
    <col min="10244" max="10244" width="11.140625" style="230" customWidth="1"/>
    <col min="10245" max="10245" width="13.7109375" style="230" customWidth="1"/>
    <col min="10246" max="10246" width="10.85546875" style="230" customWidth="1"/>
    <col min="10247" max="10247" width="8.85546875" style="230"/>
    <col min="10248" max="10248" width="13.7109375" style="230" customWidth="1"/>
    <col min="10249" max="10249" width="10.85546875" style="230" customWidth="1"/>
    <col min="10250" max="10250" width="8.85546875" style="230"/>
    <col min="10251" max="10251" width="13.7109375" style="230" customWidth="1"/>
    <col min="10252" max="10252" width="10.85546875" style="230" customWidth="1"/>
    <col min="10253" max="10497" width="8.85546875" style="230"/>
    <col min="10498" max="10498" width="13.7109375" style="230" customWidth="1"/>
    <col min="10499" max="10499" width="11" style="230" customWidth="1"/>
    <col min="10500" max="10500" width="11.140625" style="230" customWidth="1"/>
    <col min="10501" max="10501" width="13.7109375" style="230" customWidth="1"/>
    <col min="10502" max="10502" width="10.85546875" style="230" customWidth="1"/>
    <col min="10503" max="10503" width="8.85546875" style="230"/>
    <col min="10504" max="10504" width="13.7109375" style="230" customWidth="1"/>
    <col min="10505" max="10505" width="10.85546875" style="230" customWidth="1"/>
    <col min="10506" max="10506" width="8.85546875" style="230"/>
    <col min="10507" max="10507" width="13.7109375" style="230" customWidth="1"/>
    <col min="10508" max="10508" width="10.85546875" style="230" customWidth="1"/>
    <col min="10509" max="10753" width="8.85546875" style="230"/>
    <col min="10754" max="10754" width="13.7109375" style="230" customWidth="1"/>
    <col min="10755" max="10755" width="11" style="230" customWidth="1"/>
    <col min="10756" max="10756" width="11.140625" style="230" customWidth="1"/>
    <col min="10757" max="10757" width="13.7109375" style="230" customWidth="1"/>
    <col min="10758" max="10758" width="10.85546875" style="230" customWidth="1"/>
    <col min="10759" max="10759" width="8.85546875" style="230"/>
    <col min="10760" max="10760" width="13.7109375" style="230" customWidth="1"/>
    <col min="10761" max="10761" width="10.85546875" style="230" customWidth="1"/>
    <col min="10762" max="10762" width="8.85546875" style="230"/>
    <col min="10763" max="10763" width="13.7109375" style="230" customWidth="1"/>
    <col min="10764" max="10764" width="10.85546875" style="230" customWidth="1"/>
    <col min="10765" max="11009" width="8.85546875" style="230"/>
    <col min="11010" max="11010" width="13.7109375" style="230" customWidth="1"/>
    <col min="11011" max="11011" width="11" style="230" customWidth="1"/>
    <col min="11012" max="11012" width="11.140625" style="230" customWidth="1"/>
    <col min="11013" max="11013" width="13.7109375" style="230" customWidth="1"/>
    <col min="11014" max="11014" width="10.85546875" style="230" customWidth="1"/>
    <col min="11015" max="11015" width="8.85546875" style="230"/>
    <col min="11016" max="11016" width="13.7109375" style="230" customWidth="1"/>
    <col min="11017" max="11017" width="10.85546875" style="230" customWidth="1"/>
    <col min="11018" max="11018" width="8.85546875" style="230"/>
    <col min="11019" max="11019" width="13.7109375" style="230" customWidth="1"/>
    <col min="11020" max="11020" width="10.85546875" style="230" customWidth="1"/>
    <col min="11021" max="11265" width="8.85546875" style="230"/>
    <col min="11266" max="11266" width="13.7109375" style="230" customWidth="1"/>
    <col min="11267" max="11267" width="11" style="230" customWidth="1"/>
    <col min="11268" max="11268" width="11.140625" style="230" customWidth="1"/>
    <col min="11269" max="11269" width="13.7109375" style="230" customWidth="1"/>
    <col min="11270" max="11270" width="10.85546875" style="230" customWidth="1"/>
    <col min="11271" max="11271" width="8.85546875" style="230"/>
    <col min="11272" max="11272" width="13.7109375" style="230" customWidth="1"/>
    <col min="11273" max="11273" width="10.85546875" style="230" customWidth="1"/>
    <col min="11274" max="11274" width="8.85546875" style="230"/>
    <col min="11275" max="11275" width="13.7109375" style="230" customWidth="1"/>
    <col min="11276" max="11276" width="10.85546875" style="230" customWidth="1"/>
    <col min="11277" max="11521" width="8.85546875" style="230"/>
    <col min="11522" max="11522" width="13.7109375" style="230" customWidth="1"/>
    <col min="11523" max="11523" width="11" style="230" customWidth="1"/>
    <col min="11524" max="11524" width="11.140625" style="230" customWidth="1"/>
    <col min="11525" max="11525" width="13.7109375" style="230" customWidth="1"/>
    <col min="11526" max="11526" width="10.85546875" style="230" customWidth="1"/>
    <col min="11527" max="11527" width="8.85546875" style="230"/>
    <col min="11528" max="11528" width="13.7109375" style="230" customWidth="1"/>
    <col min="11529" max="11529" width="10.85546875" style="230" customWidth="1"/>
    <col min="11530" max="11530" width="8.85546875" style="230"/>
    <col min="11531" max="11531" width="13.7109375" style="230" customWidth="1"/>
    <col min="11532" max="11532" width="10.85546875" style="230" customWidth="1"/>
    <col min="11533" max="11777" width="8.85546875" style="230"/>
    <col min="11778" max="11778" width="13.7109375" style="230" customWidth="1"/>
    <col min="11779" max="11779" width="11" style="230" customWidth="1"/>
    <col min="11780" max="11780" width="11.140625" style="230" customWidth="1"/>
    <col min="11781" max="11781" width="13.7109375" style="230" customWidth="1"/>
    <col min="11782" max="11782" width="10.85546875" style="230" customWidth="1"/>
    <col min="11783" max="11783" width="8.85546875" style="230"/>
    <col min="11784" max="11784" width="13.7109375" style="230" customWidth="1"/>
    <col min="11785" max="11785" width="10.85546875" style="230" customWidth="1"/>
    <col min="11786" max="11786" width="8.85546875" style="230"/>
    <col min="11787" max="11787" width="13.7109375" style="230" customWidth="1"/>
    <col min="11788" max="11788" width="10.85546875" style="230" customWidth="1"/>
    <col min="11789" max="12033" width="8.85546875" style="230"/>
    <col min="12034" max="12034" width="13.7109375" style="230" customWidth="1"/>
    <col min="12035" max="12035" width="11" style="230" customWidth="1"/>
    <col min="12036" max="12036" width="11.140625" style="230" customWidth="1"/>
    <col min="12037" max="12037" width="13.7109375" style="230" customWidth="1"/>
    <col min="12038" max="12038" width="10.85546875" style="230" customWidth="1"/>
    <col min="12039" max="12039" width="8.85546875" style="230"/>
    <col min="12040" max="12040" width="13.7109375" style="230" customWidth="1"/>
    <col min="12041" max="12041" width="10.85546875" style="230" customWidth="1"/>
    <col min="12042" max="12042" width="8.85546875" style="230"/>
    <col min="12043" max="12043" width="13.7109375" style="230" customWidth="1"/>
    <col min="12044" max="12044" width="10.85546875" style="230" customWidth="1"/>
    <col min="12045" max="12289" width="8.85546875" style="230"/>
    <col min="12290" max="12290" width="13.7109375" style="230" customWidth="1"/>
    <col min="12291" max="12291" width="11" style="230" customWidth="1"/>
    <col min="12292" max="12292" width="11.140625" style="230" customWidth="1"/>
    <col min="12293" max="12293" width="13.7109375" style="230" customWidth="1"/>
    <col min="12294" max="12294" width="10.85546875" style="230" customWidth="1"/>
    <col min="12295" max="12295" width="8.85546875" style="230"/>
    <col min="12296" max="12296" width="13.7109375" style="230" customWidth="1"/>
    <col min="12297" max="12297" width="10.85546875" style="230" customWidth="1"/>
    <col min="12298" max="12298" width="8.85546875" style="230"/>
    <col min="12299" max="12299" width="13.7109375" style="230" customWidth="1"/>
    <col min="12300" max="12300" width="10.85546875" style="230" customWidth="1"/>
    <col min="12301" max="12545" width="8.85546875" style="230"/>
    <col min="12546" max="12546" width="13.7109375" style="230" customWidth="1"/>
    <col min="12547" max="12547" width="11" style="230" customWidth="1"/>
    <col min="12548" max="12548" width="11.140625" style="230" customWidth="1"/>
    <col min="12549" max="12549" width="13.7109375" style="230" customWidth="1"/>
    <col min="12550" max="12550" width="10.85546875" style="230" customWidth="1"/>
    <col min="12551" max="12551" width="8.85546875" style="230"/>
    <col min="12552" max="12552" width="13.7109375" style="230" customWidth="1"/>
    <col min="12553" max="12553" width="10.85546875" style="230" customWidth="1"/>
    <col min="12554" max="12554" width="8.85546875" style="230"/>
    <col min="12555" max="12555" width="13.7109375" style="230" customWidth="1"/>
    <col min="12556" max="12556" width="10.85546875" style="230" customWidth="1"/>
    <col min="12557" max="12801" width="8.85546875" style="230"/>
    <col min="12802" max="12802" width="13.7109375" style="230" customWidth="1"/>
    <col min="12803" max="12803" width="11" style="230" customWidth="1"/>
    <col min="12804" max="12804" width="11.140625" style="230" customWidth="1"/>
    <col min="12805" max="12805" width="13.7109375" style="230" customWidth="1"/>
    <col min="12806" max="12806" width="10.85546875" style="230" customWidth="1"/>
    <col min="12807" max="12807" width="8.85546875" style="230"/>
    <col min="12808" max="12808" width="13.7109375" style="230" customWidth="1"/>
    <col min="12809" max="12809" width="10.85546875" style="230" customWidth="1"/>
    <col min="12810" max="12810" width="8.85546875" style="230"/>
    <col min="12811" max="12811" width="13.7109375" style="230" customWidth="1"/>
    <col min="12812" max="12812" width="10.85546875" style="230" customWidth="1"/>
    <col min="12813" max="13057" width="8.85546875" style="230"/>
    <col min="13058" max="13058" width="13.7109375" style="230" customWidth="1"/>
    <col min="13059" max="13059" width="11" style="230" customWidth="1"/>
    <col min="13060" max="13060" width="11.140625" style="230" customWidth="1"/>
    <col min="13061" max="13061" width="13.7109375" style="230" customWidth="1"/>
    <col min="13062" max="13062" width="10.85546875" style="230" customWidth="1"/>
    <col min="13063" max="13063" width="8.85546875" style="230"/>
    <col min="13064" max="13064" width="13.7109375" style="230" customWidth="1"/>
    <col min="13065" max="13065" width="10.85546875" style="230" customWidth="1"/>
    <col min="13066" max="13066" width="8.85546875" style="230"/>
    <col min="13067" max="13067" width="13.7109375" style="230" customWidth="1"/>
    <col min="13068" max="13068" width="10.85546875" style="230" customWidth="1"/>
    <col min="13069" max="13313" width="8.85546875" style="230"/>
    <col min="13314" max="13314" width="13.7109375" style="230" customWidth="1"/>
    <col min="13315" max="13315" width="11" style="230" customWidth="1"/>
    <col min="13316" max="13316" width="11.140625" style="230" customWidth="1"/>
    <col min="13317" max="13317" width="13.7109375" style="230" customWidth="1"/>
    <col min="13318" max="13318" width="10.85546875" style="230" customWidth="1"/>
    <col min="13319" max="13319" width="8.85546875" style="230"/>
    <col min="13320" max="13320" width="13.7109375" style="230" customWidth="1"/>
    <col min="13321" max="13321" width="10.85546875" style="230" customWidth="1"/>
    <col min="13322" max="13322" width="8.85546875" style="230"/>
    <col min="13323" max="13323" width="13.7109375" style="230" customWidth="1"/>
    <col min="13324" max="13324" width="10.85546875" style="230" customWidth="1"/>
    <col min="13325" max="13569" width="8.85546875" style="230"/>
    <col min="13570" max="13570" width="13.7109375" style="230" customWidth="1"/>
    <col min="13571" max="13571" width="11" style="230" customWidth="1"/>
    <col min="13572" max="13572" width="11.140625" style="230" customWidth="1"/>
    <col min="13573" max="13573" width="13.7109375" style="230" customWidth="1"/>
    <col min="13574" max="13574" width="10.85546875" style="230" customWidth="1"/>
    <col min="13575" max="13575" width="8.85546875" style="230"/>
    <col min="13576" max="13576" width="13.7109375" style="230" customWidth="1"/>
    <col min="13577" max="13577" width="10.85546875" style="230" customWidth="1"/>
    <col min="13578" max="13578" width="8.85546875" style="230"/>
    <col min="13579" max="13579" width="13.7109375" style="230" customWidth="1"/>
    <col min="13580" max="13580" width="10.85546875" style="230" customWidth="1"/>
    <col min="13581" max="13825" width="8.85546875" style="230"/>
    <col min="13826" max="13826" width="13.7109375" style="230" customWidth="1"/>
    <col min="13827" max="13827" width="11" style="230" customWidth="1"/>
    <col min="13828" max="13828" width="11.140625" style="230" customWidth="1"/>
    <col min="13829" max="13829" width="13.7109375" style="230" customWidth="1"/>
    <col min="13830" max="13830" width="10.85546875" style="230" customWidth="1"/>
    <col min="13831" max="13831" width="8.85546875" style="230"/>
    <col min="13832" max="13832" width="13.7109375" style="230" customWidth="1"/>
    <col min="13833" max="13833" width="10.85546875" style="230" customWidth="1"/>
    <col min="13834" max="13834" width="8.85546875" style="230"/>
    <col min="13835" max="13835" width="13.7109375" style="230" customWidth="1"/>
    <col min="13836" max="13836" width="10.85546875" style="230" customWidth="1"/>
    <col min="13837" max="14081" width="8.85546875" style="230"/>
    <col min="14082" max="14082" width="13.7109375" style="230" customWidth="1"/>
    <col min="14083" max="14083" width="11" style="230" customWidth="1"/>
    <col min="14084" max="14084" width="11.140625" style="230" customWidth="1"/>
    <col min="14085" max="14085" width="13.7109375" style="230" customWidth="1"/>
    <col min="14086" max="14086" width="10.85546875" style="230" customWidth="1"/>
    <col min="14087" max="14087" width="8.85546875" style="230"/>
    <col min="14088" max="14088" width="13.7109375" style="230" customWidth="1"/>
    <col min="14089" max="14089" width="10.85546875" style="230" customWidth="1"/>
    <col min="14090" max="14090" width="8.85546875" style="230"/>
    <col min="14091" max="14091" width="13.7109375" style="230" customWidth="1"/>
    <col min="14092" max="14092" width="10.85546875" style="230" customWidth="1"/>
    <col min="14093" max="14337" width="8.85546875" style="230"/>
    <col min="14338" max="14338" width="13.7109375" style="230" customWidth="1"/>
    <col min="14339" max="14339" width="11" style="230" customWidth="1"/>
    <col min="14340" max="14340" width="11.140625" style="230" customWidth="1"/>
    <col min="14341" max="14341" width="13.7109375" style="230" customWidth="1"/>
    <col min="14342" max="14342" width="10.85546875" style="230" customWidth="1"/>
    <col min="14343" max="14343" width="8.85546875" style="230"/>
    <col min="14344" max="14344" width="13.7109375" style="230" customWidth="1"/>
    <col min="14345" max="14345" width="10.85546875" style="230" customWidth="1"/>
    <col min="14346" max="14346" width="8.85546875" style="230"/>
    <col min="14347" max="14347" width="13.7109375" style="230" customWidth="1"/>
    <col min="14348" max="14348" width="10.85546875" style="230" customWidth="1"/>
    <col min="14349" max="14593" width="8.85546875" style="230"/>
    <col min="14594" max="14594" width="13.7109375" style="230" customWidth="1"/>
    <col min="14595" max="14595" width="11" style="230" customWidth="1"/>
    <col min="14596" max="14596" width="11.140625" style="230" customWidth="1"/>
    <col min="14597" max="14597" width="13.7109375" style="230" customWidth="1"/>
    <col min="14598" max="14598" width="10.85546875" style="230" customWidth="1"/>
    <col min="14599" max="14599" width="8.85546875" style="230"/>
    <col min="14600" max="14600" width="13.7109375" style="230" customWidth="1"/>
    <col min="14601" max="14601" width="10.85546875" style="230" customWidth="1"/>
    <col min="14602" max="14602" width="8.85546875" style="230"/>
    <col min="14603" max="14603" width="13.7109375" style="230" customWidth="1"/>
    <col min="14604" max="14604" width="10.85546875" style="230" customWidth="1"/>
    <col min="14605" max="14849" width="8.85546875" style="230"/>
    <col min="14850" max="14850" width="13.7109375" style="230" customWidth="1"/>
    <col min="14851" max="14851" width="11" style="230" customWidth="1"/>
    <col min="14852" max="14852" width="11.140625" style="230" customWidth="1"/>
    <col min="14853" max="14853" width="13.7109375" style="230" customWidth="1"/>
    <col min="14854" max="14854" width="10.85546875" style="230" customWidth="1"/>
    <col min="14855" max="14855" width="8.85546875" style="230"/>
    <col min="14856" max="14856" width="13.7109375" style="230" customWidth="1"/>
    <col min="14857" max="14857" width="10.85546875" style="230" customWidth="1"/>
    <col min="14858" max="14858" width="8.85546875" style="230"/>
    <col min="14859" max="14859" width="13.7109375" style="230" customWidth="1"/>
    <col min="14860" max="14860" width="10.85546875" style="230" customWidth="1"/>
    <col min="14861" max="15105" width="8.85546875" style="230"/>
    <col min="15106" max="15106" width="13.7109375" style="230" customWidth="1"/>
    <col min="15107" max="15107" width="11" style="230" customWidth="1"/>
    <col min="15108" max="15108" width="11.140625" style="230" customWidth="1"/>
    <col min="15109" max="15109" width="13.7109375" style="230" customWidth="1"/>
    <col min="15110" max="15110" width="10.85546875" style="230" customWidth="1"/>
    <col min="15111" max="15111" width="8.85546875" style="230"/>
    <col min="15112" max="15112" width="13.7109375" style="230" customWidth="1"/>
    <col min="15113" max="15113" width="10.85546875" style="230" customWidth="1"/>
    <col min="15114" max="15114" width="8.85546875" style="230"/>
    <col min="15115" max="15115" width="13.7109375" style="230" customWidth="1"/>
    <col min="15116" max="15116" width="10.85546875" style="230" customWidth="1"/>
    <col min="15117" max="15361" width="8.85546875" style="230"/>
    <col min="15362" max="15362" width="13.7109375" style="230" customWidth="1"/>
    <col min="15363" max="15363" width="11" style="230" customWidth="1"/>
    <col min="15364" max="15364" width="11.140625" style="230" customWidth="1"/>
    <col min="15365" max="15365" width="13.7109375" style="230" customWidth="1"/>
    <col min="15366" max="15366" width="10.85546875" style="230" customWidth="1"/>
    <col min="15367" max="15367" width="8.85546875" style="230"/>
    <col min="15368" max="15368" width="13.7109375" style="230" customWidth="1"/>
    <col min="15369" max="15369" width="10.85546875" style="230" customWidth="1"/>
    <col min="15370" max="15370" width="8.85546875" style="230"/>
    <col min="15371" max="15371" width="13.7109375" style="230" customWidth="1"/>
    <col min="15372" max="15372" width="10.85546875" style="230" customWidth="1"/>
    <col min="15373" max="15617" width="8.85546875" style="230"/>
    <col min="15618" max="15618" width="13.7109375" style="230" customWidth="1"/>
    <col min="15619" max="15619" width="11" style="230" customWidth="1"/>
    <col min="15620" max="15620" width="11.140625" style="230" customWidth="1"/>
    <col min="15621" max="15621" width="13.7109375" style="230" customWidth="1"/>
    <col min="15622" max="15622" width="10.85546875" style="230" customWidth="1"/>
    <col min="15623" max="15623" width="8.85546875" style="230"/>
    <col min="15624" max="15624" width="13.7109375" style="230" customWidth="1"/>
    <col min="15625" max="15625" width="10.85546875" style="230" customWidth="1"/>
    <col min="15626" max="15626" width="8.85546875" style="230"/>
    <col min="15627" max="15627" width="13.7109375" style="230" customWidth="1"/>
    <col min="15628" max="15628" width="10.85546875" style="230" customWidth="1"/>
    <col min="15629" max="15873" width="8.85546875" style="230"/>
    <col min="15874" max="15874" width="13.7109375" style="230" customWidth="1"/>
    <col min="15875" max="15875" width="11" style="230" customWidth="1"/>
    <col min="15876" max="15876" width="11.140625" style="230" customWidth="1"/>
    <col min="15877" max="15877" width="13.7109375" style="230" customWidth="1"/>
    <col min="15878" max="15878" width="10.85546875" style="230" customWidth="1"/>
    <col min="15879" max="15879" width="8.85546875" style="230"/>
    <col min="15880" max="15880" width="13.7109375" style="230" customWidth="1"/>
    <col min="15881" max="15881" width="10.85546875" style="230" customWidth="1"/>
    <col min="15882" max="15882" width="8.85546875" style="230"/>
    <col min="15883" max="15883" width="13.7109375" style="230" customWidth="1"/>
    <col min="15884" max="15884" width="10.85546875" style="230" customWidth="1"/>
    <col min="15885" max="16129" width="8.85546875" style="230"/>
    <col min="16130" max="16130" width="13.7109375" style="230" customWidth="1"/>
    <col min="16131" max="16131" width="11" style="230" customWidth="1"/>
    <col min="16132" max="16132" width="11.140625" style="230" customWidth="1"/>
    <col min="16133" max="16133" width="13.7109375" style="230" customWidth="1"/>
    <col min="16134" max="16134" width="10.85546875" style="230" customWidth="1"/>
    <col min="16135" max="16135" width="8.85546875" style="230"/>
    <col min="16136" max="16136" width="13.7109375" style="230" customWidth="1"/>
    <col min="16137" max="16137" width="10.85546875" style="230" customWidth="1"/>
    <col min="16138" max="16138" width="8.85546875" style="230"/>
    <col min="16139" max="16139" width="13.7109375" style="230" customWidth="1"/>
    <col min="16140" max="16140" width="10.85546875" style="230" customWidth="1"/>
    <col min="16141" max="16384" width="8.85546875" style="230"/>
  </cols>
  <sheetData>
    <row r="1" spans="1:12" x14ac:dyDescent="0.25">
      <c r="A1" s="229" t="s">
        <v>128</v>
      </c>
    </row>
    <row r="3" spans="1:12" x14ac:dyDescent="0.25">
      <c r="A3" s="272" t="s">
        <v>79</v>
      </c>
      <c r="B3" s="272"/>
      <c r="C3" s="272"/>
      <c r="D3" s="273" t="s">
        <v>80</v>
      </c>
      <c r="E3" s="274"/>
      <c r="F3" s="275"/>
      <c r="G3" s="273" t="s">
        <v>81</v>
      </c>
      <c r="H3" s="274"/>
      <c r="I3" s="274"/>
      <c r="J3" s="273" t="s">
        <v>119</v>
      </c>
      <c r="K3" s="274"/>
      <c r="L3" s="274"/>
    </row>
    <row r="4" spans="1:12" x14ac:dyDescent="0.25">
      <c r="A4" s="232" t="s">
        <v>2</v>
      </c>
      <c r="B4" s="233" t="s">
        <v>3</v>
      </c>
      <c r="C4" s="232" t="s">
        <v>4</v>
      </c>
      <c r="D4" s="234" t="s">
        <v>2</v>
      </c>
      <c r="E4" s="233" t="s">
        <v>3</v>
      </c>
      <c r="F4" s="235" t="s">
        <v>4</v>
      </c>
      <c r="G4" s="234" t="s">
        <v>2</v>
      </c>
      <c r="H4" s="233" t="s">
        <v>3</v>
      </c>
      <c r="I4" s="232" t="s">
        <v>4</v>
      </c>
      <c r="J4" s="234" t="s">
        <v>2</v>
      </c>
      <c r="K4" s="233" t="s">
        <v>3</v>
      </c>
      <c r="L4" s="232" t="s">
        <v>4</v>
      </c>
    </row>
    <row r="5" spans="1:12" x14ac:dyDescent="0.25">
      <c r="A5" s="231"/>
      <c r="C5" s="231" t="s">
        <v>54</v>
      </c>
      <c r="D5" s="236"/>
      <c r="E5" s="237"/>
      <c r="F5" s="238" t="s">
        <v>54</v>
      </c>
      <c r="G5" s="236"/>
      <c r="H5" s="237"/>
      <c r="I5" s="238" t="s">
        <v>54</v>
      </c>
      <c r="J5" s="236"/>
      <c r="K5" s="237"/>
      <c r="L5" s="238" t="s">
        <v>54</v>
      </c>
    </row>
    <row r="6" spans="1:12" x14ac:dyDescent="0.25">
      <c r="A6" s="231"/>
      <c r="D6" s="236"/>
      <c r="E6" s="237"/>
      <c r="F6" s="238"/>
      <c r="G6" s="236"/>
      <c r="H6" s="237"/>
      <c r="I6" s="238"/>
      <c r="J6" s="236"/>
      <c r="K6" s="237"/>
      <c r="L6" s="238"/>
    </row>
    <row r="7" spans="1:12" x14ac:dyDescent="0.25">
      <c r="A7" s="231">
        <v>1</v>
      </c>
      <c r="B7" s="195" t="s">
        <v>5</v>
      </c>
      <c r="C7" s="239">
        <v>313.91800000000001</v>
      </c>
      <c r="D7" s="236">
        <v>1</v>
      </c>
      <c r="E7" s="195" t="s">
        <v>183</v>
      </c>
      <c r="F7" s="239">
        <v>137.38300000000001</v>
      </c>
      <c r="G7" s="236">
        <v>1</v>
      </c>
      <c r="H7" s="240" t="s">
        <v>7</v>
      </c>
      <c r="I7" s="241">
        <v>140.69999999999999</v>
      </c>
      <c r="J7" s="236">
        <v>1</v>
      </c>
      <c r="K7" s="237" t="s">
        <v>7</v>
      </c>
      <c r="L7" s="239">
        <v>458.28</v>
      </c>
    </row>
    <row r="8" spans="1:12" x14ac:dyDescent="0.25">
      <c r="A8" s="231">
        <v>2</v>
      </c>
      <c r="B8" s="195" t="s">
        <v>7</v>
      </c>
      <c r="C8" s="239">
        <v>192.78</v>
      </c>
      <c r="D8" s="236">
        <v>2</v>
      </c>
      <c r="E8" s="240" t="s">
        <v>7</v>
      </c>
      <c r="F8" s="239">
        <v>117.92</v>
      </c>
      <c r="G8" s="236">
        <v>2</v>
      </c>
      <c r="H8" s="240" t="s">
        <v>13</v>
      </c>
      <c r="I8" s="241">
        <v>103.4</v>
      </c>
      <c r="J8" s="236">
        <v>2</v>
      </c>
      <c r="K8" s="237" t="s">
        <v>5</v>
      </c>
      <c r="L8" s="239">
        <v>383.98399999999998</v>
      </c>
    </row>
    <row r="9" spans="1:12" x14ac:dyDescent="0.25">
      <c r="A9" s="231">
        <v>3</v>
      </c>
      <c r="B9" s="195" t="s">
        <v>8</v>
      </c>
      <c r="C9" s="239">
        <v>70</v>
      </c>
      <c r="D9" s="236">
        <v>3</v>
      </c>
      <c r="E9" s="240" t="s">
        <v>13</v>
      </c>
      <c r="F9" s="239">
        <v>86.87</v>
      </c>
      <c r="G9" s="236">
        <v>3</v>
      </c>
      <c r="H9" s="240" t="s">
        <v>118</v>
      </c>
      <c r="I9" s="241">
        <v>36.299999999999997</v>
      </c>
      <c r="J9" s="236">
        <v>3</v>
      </c>
      <c r="K9" s="195" t="s">
        <v>183</v>
      </c>
      <c r="L9" s="239">
        <v>285.29399999999998</v>
      </c>
    </row>
    <row r="10" spans="1:12" x14ac:dyDescent="0.25">
      <c r="A10" s="231">
        <v>4</v>
      </c>
      <c r="B10" s="195" t="s">
        <v>183</v>
      </c>
      <c r="C10" s="239">
        <v>64.635999999999996</v>
      </c>
      <c r="D10" s="236">
        <v>4</v>
      </c>
      <c r="E10" s="240" t="s">
        <v>15</v>
      </c>
      <c r="F10" s="239">
        <v>56.231000000000002</v>
      </c>
      <c r="G10" s="236">
        <v>4</v>
      </c>
      <c r="H10" s="240" t="s">
        <v>120</v>
      </c>
      <c r="I10" s="241">
        <v>34</v>
      </c>
      <c r="J10" s="236">
        <v>4</v>
      </c>
      <c r="K10" s="237" t="s">
        <v>13</v>
      </c>
      <c r="L10" s="239">
        <v>232.2</v>
      </c>
    </row>
    <row r="11" spans="1:12" x14ac:dyDescent="0.25">
      <c r="A11" s="231">
        <v>5</v>
      </c>
      <c r="B11" s="195" t="s">
        <v>10</v>
      </c>
      <c r="C11" s="239">
        <v>22.838000000000001</v>
      </c>
      <c r="D11" s="236">
        <v>5</v>
      </c>
      <c r="E11" s="242" t="s">
        <v>5</v>
      </c>
      <c r="F11" s="239">
        <v>54.412999999999997</v>
      </c>
      <c r="G11" s="236">
        <v>5</v>
      </c>
      <c r="H11" s="240" t="s">
        <v>121</v>
      </c>
      <c r="I11" s="241">
        <v>26.734999999999999</v>
      </c>
      <c r="J11" s="236">
        <v>5</v>
      </c>
      <c r="K11" s="243" t="s">
        <v>15</v>
      </c>
      <c r="L11" s="239">
        <v>89.709000000000003</v>
      </c>
    </row>
    <row r="12" spans="1:12" x14ac:dyDescent="0.25">
      <c r="A12" s="231">
        <v>6</v>
      </c>
      <c r="B12" s="244" t="s">
        <v>13</v>
      </c>
      <c r="C12" s="239">
        <v>21.3</v>
      </c>
      <c r="D12" s="236">
        <v>6</v>
      </c>
      <c r="E12" s="240" t="s">
        <v>122</v>
      </c>
      <c r="F12" s="239">
        <v>29.5</v>
      </c>
      <c r="G12" s="236">
        <v>6</v>
      </c>
      <c r="H12" s="240" t="s">
        <v>123</v>
      </c>
      <c r="I12" s="241">
        <v>20.46</v>
      </c>
      <c r="J12" s="236">
        <v>6</v>
      </c>
      <c r="K12" s="237" t="s">
        <v>8</v>
      </c>
      <c r="L12" s="239">
        <v>86.492999999999995</v>
      </c>
    </row>
    <row r="13" spans="1:12" x14ac:dyDescent="0.25">
      <c r="A13" s="231">
        <v>7</v>
      </c>
      <c r="B13" s="195" t="s">
        <v>12</v>
      </c>
      <c r="C13" s="239">
        <v>21</v>
      </c>
      <c r="D13" s="236">
        <v>7</v>
      </c>
      <c r="E13" s="242" t="s">
        <v>17</v>
      </c>
      <c r="F13" s="239">
        <v>25.26</v>
      </c>
      <c r="G13" s="236">
        <v>7</v>
      </c>
      <c r="H13" s="240" t="s">
        <v>124</v>
      </c>
      <c r="I13" s="241">
        <v>10.816000000000001</v>
      </c>
      <c r="J13" s="236">
        <v>7</v>
      </c>
      <c r="K13" s="237" t="s">
        <v>10</v>
      </c>
      <c r="L13" s="239">
        <v>55.56</v>
      </c>
    </row>
    <row r="14" spans="1:12" x14ac:dyDescent="0.25">
      <c r="A14" s="231">
        <v>8</v>
      </c>
      <c r="B14" s="195" t="s">
        <v>9</v>
      </c>
      <c r="C14" s="239">
        <v>19</v>
      </c>
      <c r="D14" s="236">
        <v>8</v>
      </c>
      <c r="E14" s="240" t="s">
        <v>125</v>
      </c>
      <c r="F14" s="239">
        <v>24.2</v>
      </c>
      <c r="G14" s="236">
        <v>8</v>
      </c>
      <c r="H14" s="240" t="s">
        <v>126</v>
      </c>
      <c r="I14" s="241">
        <v>10.638999999999999</v>
      </c>
      <c r="J14" s="236">
        <v>8</v>
      </c>
      <c r="K14" s="237" t="s">
        <v>17</v>
      </c>
      <c r="L14" s="239">
        <v>47.125999999999998</v>
      </c>
    </row>
    <row r="15" spans="1:12" x14ac:dyDescent="0.25">
      <c r="A15" s="231">
        <v>9</v>
      </c>
      <c r="B15" s="195" t="s">
        <v>20</v>
      </c>
      <c r="C15" s="239">
        <v>11.5</v>
      </c>
      <c r="D15" s="236">
        <v>9</v>
      </c>
      <c r="E15" s="240" t="s">
        <v>127</v>
      </c>
      <c r="F15" s="239">
        <v>22.731999999999999</v>
      </c>
      <c r="G15" s="236">
        <v>9</v>
      </c>
      <c r="H15" s="240" t="s">
        <v>8</v>
      </c>
      <c r="I15" s="241">
        <v>7.86</v>
      </c>
      <c r="J15" s="236">
        <v>9</v>
      </c>
      <c r="K15" s="237" t="s">
        <v>118</v>
      </c>
      <c r="L15" s="239">
        <v>45</v>
      </c>
    </row>
    <row r="16" spans="1:12" x14ac:dyDescent="0.25">
      <c r="A16" s="238">
        <v>10</v>
      </c>
      <c r="B16" s="245" t="s">
        <v>17</v>
      </c>
      <c r="C16" s="241">
        <v>10.7</v>
      </c>
      <c r="D16" s="236">
        <v>10</v>
      </c>
      <c r="E16" s="240" t="s">
        <v>10</v>
      </c>
      <c r="F16" s="239">
        <v>22.123999999999999</v>
      </c>
      <c r="G16" s="236">
        <v>10</v>
      </c>
      <c r="H16" s="240" t="s">
        <v>6</v>
      </c>
      <c r="I16" s="241">
        <v>7.6459999999999999</v>
      </c>
      <c r="J16" s="236">
        <v>10</v>
      </c>
      <c r="K16" s="237" t="s">
        <v>12</v>
      </c>
      <c r="L16" s="239">
        <v>44.88</v>
      </c>
    </row>
    <row r="17" spans="1:12" x14ac:dyDescent="0.25">
      <c r="A17" s="238"/>
      <c r="B17" s="245"/>
      <c r="C17" s="246"/>
      <c r="D17" s="236"/>
      <c r="E17" s="240"/>
      <c r="F17" s="247"/>
      <c r="G17" s="236"/>
      <c r="H17" s="240"/>
      <c r="I17" s="241"/>
      <c r="J17" s="236"/>
      <c r="K17" s="237"/>
      <c r="L17" s="247"/>
    </row>
    <row r="18" spans="1:12" x14ac:dyDescent="0.25">
      <c r="A18" s="238"/>
      <c r="B18" s="248" t="s">
        <v>24</v>
      </c>
      <c r="C18" s="247">
        <f>C20-(SUM(C7:C16))</f>
        <v>126.03100000000006</v>
      </c>
      <c r="D18" s="236"/>
      <c r="E18" s="237" t="s">
        <v>24</v>
      </c>
      <c r="F18" s="247">
        <f>F20-(SUM(F7:F16))</f>
        <v>118.05399999999997</v>
      </c>
      <c r="G18" s="236"/>
      <c r="H18" s="237" t="s">
        <v>24</v>
      </c>
      <c r="I18" s="249">
        <f>I20-(SUM(I7:I16))</f>
        <v>65.383000000000038</v>
      </c>
      <c r="J18" s="236"/>
      <c r="K18" s="237" t="s">
        <v>24</v>
      </c>
      <c r="L18" s="247">
        <f>L20-(SUM(L7:L16))</f>
        <v>575.78</v>
      </c>
    </row>
    <row r="19" spans="1:12" x14ac:dyDescent="0.25">
      <c r="A19" s="238"/>
      <c r="B19" s="245"/>
      <c r="C19" s="247"/>
      <c r="D19" s="236"/>
      <c r="E19" s="237"/>
      <c r="F19" s="247"/>
      <c r="G19" s="236"/>
      <c r="H19" s="237"/>
      <c r="I19" s="241"/>
      <c r="J19" s="236"/>
      <c r="K19" s="237"/>
      <c r="L19" s="247"/>
    </row>
    <row r="20" spans="1:12" x14ac:dyDescent="0.25">
      <c r="A20" s="232"/>
      <c r="B20" s="250" t="s">
        <v>25</v>
      </c>
      <c r="C20" s="251">
        <v>873.70299999999997</v>
      </c>
      <c r="D20" s="234"/>
      <c r="E20" s="233" t="s">
        <v>25</v>
      </c>
      <c r="F20" s="252">
        <v>694.68700000000001</v>
      </c>
      <c r="G20" s="234"/>
      <c r="H20" s="233" t="s">
        <v>25</v>
      </c>
      <c r="I20" s="252">
        <v>463.93900000000002</v>
      </c>
      <c r="J20" s="234"/>
      <c r="K20" s="233" t="s">
        <v>25</v>
      </c>
      <c r="L20" s="253">
        <v>2304.306</v>
      </c>
    </row>
    <row r="21" spans="1:12" x14ac:dyDescent="0.25">
      <c r="A21" s="238"/>
      <c r="B21" s="248"/>
      <c r="C21" s="246"/>
      <c r="D21" s="238"/>
      <c r="E21" s="237"/>
      <c r="F21" s="247"/>
      <c r="G21" s="238"/>
      <c r="H21" s="237"/>
      <c r="I21" s="247"/>
      <c r="J21" s="238"/>
      <c r="K21" s="237"/>
      <c r="L21" s="254"/>
    </row>
    <row r="22" spans="1:12" x14ac:dyDescent="0.25">
      <c r="A22" s="276" t="s">
        <v>129</v>
      </c>
      <c r="B22" s="276"/>
      <c r="C22" s="276"/>
      <c r="D22" s="276"/>
      <c r="E22" s="276"/>
      <c r="F22" s="276"/>
      <c r="G22" s="276"/>
      <c r="H22" s="276"/>
      <c r="I22" s="276"/>
      <c r="J22" s="276"/>
      <c r="K22" s="276"/>
      <c r="L22" s="276"/>
    </row>
    <row r="23" spans="1:12" x14ac:dyDescent="0.25">
      <c r="D23" s="238"/>
      <c r="E23" s="237"/>
      <c r="F23" s="246"/>
      <c r="G23" s="238"/>
      <c r="H23" s="237"/>
      <c r="I23" s="246"/>
      <c r="J23" s="238"/>
      <c r="K23" s="237"/>
      <c r="L23" s="246"/>
    </row>
    <row r="24" spans="1:12" ht="27" customHeight="1" x14ac:dyDescent="0.25">
      <c r="A24" s="277" t="s">
        <v>26</v>
      </c>
      <c r="B24" s="277"/>
      <c r="C24" s="277"/>
      <c r="D24" s="277"/>
      <c r="E24" s="277"/>
      <c r="F24" s="277"/>
      <c r="G24" s="277"/>
      <c r="H24" s="277"/>
      <c r="I24" s="277"/>
      <c r="J24" s="277"/>
      <c r="K24" s="277"/>
      <c r="L24" s="277"/>
    </row>
    <row r="26" spans="1:12" ht="12.75" customHeight="1" x14ac:dyDescent="0.25">
      <c r="A26" s="271" t="s">
        <v>164</v>
      </c>
      <c r="B26" s="271"/>
      <c r="C26" s="271"/>
      <c r="D26" s="271"/>
      <c r="E26" s="271"/>
      <c r="F26" s="271"/>
      <c r="G26" s="271"/>
      <c r="H26" s="271"/>
      <c r="I26" s="271"/>
      <c r="J26" s="271"/>
      <c r="K26" s="271"/>
      <c r="L26" s="271"/>
    </row>
    <row r="27" spans="1:12" ht="19.5" customHeight="1" x14ac:dyDescent="0.25">
      <c r="A27" s="271"/>
      <c r="B27" s="271"/>
      <c r="C27" s="271"/>
      <c r="D27" s="271"/>
      <c r="E27" s="271"/>
      <c r="F27" s="271"/>
      <c r="G27" s="271"/>
      <c r="H27" s="271"/>
      <c r="I27" s="271"/>
      <c r="J27" s="271"/>
      <c r="K27" s="271"/>
      <c r="L27" s="271"/>
    </row>
    <row r="28" spans="1:12" x14ac:dyDescent="0.25">
      <c r="A28" s="255"/>
      <c r="B28" s="255"/>
      <c r="C28" s="255"/>
      <c r="D28" s="255"/>
      <c r="E28" s="255"/>
      <c r="F28" s="255"/>
      <c r="G28" s="256"/>
      <c r="L28" s="231"/>
    </row>
    <row r="29" spans="1:12" x14ac:dyDescent="0.25">
      <c r="A29" s="255"/>
      <c r="B29" s="255"/>
      <c r="C29" s="255"/>
      <c r="D29" s="255"/>
      <c r="E29" s="255"/>
      <c r="F29" s="255"/>
    </row>
  </sheetData>
  <mergeCells count="7">
    <mergeCell ref="A26:L27"/>
    <mergeCell ref="A3:C3"/>
    <mergeCell ref="D3:F3"/>
    <mergeCell ref="G3:I3"/>
    <mergeCell ref="J3:L3"/>
    <mergeCell ref="A22:L22"/>
    <mergeCell ref="A24:L24"/>
  </mergeCells>
  <pageMargins left="0.7" right="0.7" top="0.75" bottom="0.75" header="0.3" footer="0.3"/>
  <pageSetup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L30"/>
  <sheetViews>
    <sheetView zoomScaleNormal="100" zoomScaleSheetLayoutView="100" workbookViewId="0"/>
  </sheetViews>
  <sheetFormatPr defaultColWidth="8.85546875" defaultRowHeight="12.75" x14ac:dyDescent="0.25"/>
  <cols>
    <col min="1" max="1" width="8.85546875" style="32"/>
    <col min="2" max="2" width="14.7109375" style="32" customWidth="1"/>
    <col min="3" max="3" width="11" style="82" customWidth="1"/>
    <col min="4" max="4" width="14.28515625" style="32" customWidth="1"/>
    <col min="5" max="5" width="14.7109375" style="32" customWidth="1"/>
    <col min="6" max="6" width="10.85546875" style="82" customWidth="1"/>
    <col min="7" max="7" width="8.85546875" style="32"/>
    <col min="8" max="8" width="14.7109375" style="32" customWidth="1"/>
    <col min="9" max="9" width="10.85546875" style="82" customWidth="1"/>
    <col min="10" max="10" width="8.85546875" style="32"/>
    <col min="11" max="11" width="14.7109375" style="32" customWidth="1"/>
    <col min="12" max="12" width="10.85546875" style="32" customWidth="1"/>
    <col min="13" max="257" width="8.85546875" style="32"/>
    <col min="258" max="258" width="13.7109375" style="32" customWidth="1"/>
    <col min="259" max="259" width="11" style="32" customWidth="1"/>
    <col min="260" max="260" width="14.28515625" style="32" customWidth="1"/>
    <col min="261" max="261" width="13.7109375" style="32" customWidth="1"/>
    <col min="262" max="262" width="10.85546875" style="32" customWidth="1"/>
    <col min="263" max="263" width="8.85546875" style="32"/>
    <col min="264" max="264" width="13.7109375" style="32" customWidth="1"/>
    <col min="265" max="265" width="10.85546875" style="32" customWidth="1"/>
    <col min="266" max="266" width="8.85546875" style="32"/>
    <col min="267" max="267" width="13.7109375" style="32" customWidth="1"/>
    <col min="268" max="268" width="10.85546875" style="32" customWidth="1"/>
    <col min="269" max="513" width="8.85546875" style="32"/>
    <col min="514" max="514" width="13.7109375" style="32" customWidth="1"/>
    <col min="515" max="515" width="11" style="32" customWidth="1"/>
    <col min="516" max="516" width="14.28515625" style="32" customWidth="1"/>
    <col min="517" max="517" width="13.7109375" style="32" customWidth="1"/>
    <col min="518" max="518" width="10.85546875" style="32" customWidth="1"/>
    <col min="519" max="519" width="8.85546875" style="32"/>
    <col min="520" max="520" width="13.7109375" style="32" customWidth="1"/>
    <col min="521" max="521" width="10.85546875" style="32" customWidth="1"/>
    <col min="522" max="522" width="8.85546875" style="32"/>
    <col min="523" max="523" width="13.7109375" style="32" customWidth="1"/>
    <col min="524" max="524" width="10.85546875" style="32" customWidth="1"/>
    <col min="525" max="769" width="8.85546875" style="32"/>
    <col min="770" max="770" width="13.7109375" style="32" customWidth="1"/>
    <col min="771" max="771" width="11" style="32" customWidth="1"/>
    <col min="772" max="772" width="14.28515625" style="32" customWidth="1"/>
    <col min="773" max="773" width="13.7109375" style="32" customWidth="1"/>
    <col min="774" max="774" width="10.85546875" style="32" customWidth="1"/>
    <col min="775" max="775" width="8.85546875" style="32"/>
    <col min="776" max="776" width="13.7109375" style="32" customWidth="1"/>
    <col min="777" max="777" width="10.85546875" style="32" customWidth="1"/>
    <col min="778" max="778" width="8.85546875" style="32"/>
    <col min="779" max="779" width="13.7109375" style="32" customWidth="1"/>
    <col min="780" max="780" width="10.85546875" style="32" customWidth="1"/>
    <col min="781" max="1025" width="8.85546875" style="32"/>
    <col min="1026" max="1026" width="13.7109375" style="32" customWidth="1"/>
    <col min="1027" max="1027" width="11" style="32" customWidth="1"/>
    <col min="1028" max="1028" width="14.28515625" style="32" customWidth="1"/>
    <col min="1029" max="1029" width="13.7109375" style="32" customWidth="1"/>
    <col min="1030" max="1030" width="10.85546875" style="32" customWidth="1"/>
    <col min="1031" max="1031" width="8.85546875" style="32"/>
    <col min="1032" max="1032" width="13.7109375" style="32" customWidth="1"/>
    <col min="1033" max="1033" width="10.85546875" style="32" customWidth="1"/>
    <col min="1034" max="1034" width="8.85546875" style="32"/>
    <col min="1035" max="1035" width="13.7109375" style="32" customWidth="1"/>
    <col min="1036" max="1036" width="10.85546875" style="32" customWidth="1"/>
    <col min="1037" max="1281" width="8.85546875" style="32"/>
    <col min="1282" max="1282" width="13.7109375" style="32" customWidth="1"/>
    <col min="1283" max="1283" width="11" style="32" customWidth="1"/>
    <col min="1284" max="1284" width="14.28515625" style="32" customWidth="1"/>
    <col min="1285" max="1285" width="13.7109375" style="32" customWidth="1"/>
    <col min="1286" max="1286" width="10.85546875" style="32" customWidth="1"/>
    <col min="1287" max="1287" width="8.85546875" style="32"/>
    <col min="1288" max="1288" width="13.7109375" style="32" customWidth="1"/>
    <col min="1289" max="1289" width="10.85546875" style="32" customWidth="1"/>
    <col min="1290" max="1290" width="8.85546875" style="32"/>
    <col min="1291" max="1291" width="13.7109375" style="32" customWidth="1"/>
    <col min="1292" max="1292" width="10.85546875" style="32" customWidth="1"/>
    <col min="1293" max="1537" width="8.85546875" style="32"/>
    <col min="1538" max="1538" width="13.7109375" style="32" customWidth="1"/>
    <col min="1539" max="1539" width="11" style="32" customWidth="1"/>
    <col min="1540" max="1540" width="14.28515625" style="32" customWidth="1"/>
    <col min="1541" max="1541" width="13.7109375" style="32" customWidth="1"/>
    <col min="1542" max="1542" width="10.85546875" style="32" customWidth="1"/>
    <col min="1543" max="1543" width="8.85546875" style="32"/>
    <col min="1544" max="1544" width="13.7109375" style="32" customWidth="1"/>
    <col min="1545" max="1545" width="10.85546875" style="32" customWidth="1"/>
    <col min="1546" max="1546" width="8.85546875" style="32"/>
    <col min="1547" max="1547" width="13.7109375" style="32" customWidth="1"/>
    <col min="1548" max="1548" width="10.85546875" style="32" customWidth="1"/>
    <col min="1549" max="1793" width="8.85546875" style="32"/>
    <col min="1794" max="1794" width="13.7109375" style="32" customWidth="1"/>
    <col min="1795" max="1795" width="11" style="32" customWidth="1"/>
    <col min="1796" max="1796" width="14.28515625" style="32" customWidth="1"/>
    <col min="1797" max="1797" width="13.7109375" style="32" customWidth="1"/>
    <col min="1798" max="1798" width="10.85546875" style="32" customWidth="1"/>
    <col min="1799" max="1799" width="8.85546875" style="32"/>
    <col min="1800" max="1800" width="13.7109375" style="32" customWidth="1"/>
    <col min="1801" max="1801" width="10.85546875" style="32" customWidth="1"/>
    <col min="1802" max="1802" width="8.85546875" style="32"/>
    <col min="1803" max="1803" width="13.7109375" style="32" customWidth="1"/>
    <col min="1804" max="1804" width="10.85546875" style="32" customWidth="1"/>
    <col min="1805" max="2049" width="8.85546875" style="32"/>
    <col min="2050" max="2050" width="13.7109375" style="32" customWidth="1"/>
    <col min="2051" max="2051" width="11" style="32" customWidth="1"/>
    <col min="2052" max="2052" width="14.28515625" style="32" customWidth="1"/>
    <col min="2053" max="2053" width="13.7109375" style="32" customWidth="1"/>
    <col min="2054" max="2054" width="10.85546875" style="32" customWidth="1"/>
    <col min="2055" max="2055" width="8.85546875" style="32"/>
    <col min="2056" max="2056" width="13.7109375" style="32" customWidth="1"/>
    <col min="2057" max="2057" width="10.85546875" style="32" customWidth="1"/>
    <col min="2058" max="2058" width="8.85546875" style="32"/>
    <col min="2059" max="2059" width="13.7109375" style="32" customWidth="1"/>
    <col min="2060" max="2060" width="10.85546875" style="32" customWidth="1"/>
    <col min="2061" max="2305" width="8.85546875" style="32"/>
    <col min="2306" max="2306" width="13.7109375" style="32" customWidth="1"/>
    <col min="2307" max="2307" width="11" style="32" customWidth="1"/>
    <col min="2308" max="2308" width="14.28515625" style="32" customWidth="1"/>
    <col min="2309" max="2309" width="13.7109375" style="32" customWidth="1"/>
    <col min="2310" max="2310" width="10.85546875" style="32" customWidth="1"/>
    <col min="2311" max="2311" width="8.85546875" style="32"/>
    <col min="2312" max="2312" width="13.7109375" style="32" customWidth="1"/>
    <col min="2313" max="2313" width="10.85546875" style="32" customWidth="1"/>
    <col min="2314" max="2314" width="8.85546875" style="32"/>
    <col min="2315" max="2315" width="13.7109375" style="32" customWidth="1"/>
    <col min="2316" max="2316" width="10.85546875" style="32" customWidth="1"/>
    <col min="2317" max="2561" width="8.85546875" style="32"/>
    <col min="2562" max="2562" width="13.7109375" style="32" customWidth="1"/>
    <col min="2563" max="2563" width="11" style="32" customWidth="1"/>
    <col min="2564" max="2564" width="14.28515625" style="32" customWidth="1"/>
    <col min="2565" max="2565" width="13.7109375" style="32" customWidth="1"/>
    <col min="2566" max="2566" width="10.85546875" style="32" customWidth="1"/>
    <col min="2567" max="2567" width="8.85546875" style="32"/>
    <col min="2568" max="2568" width="13.7109375" style="32" customWidth="1"/>
    <col min="2569" max="2569" width="10.85546875" style="32" customWidth="1"/>
    <col min="2570" max="2570" width="8.85546875" style="32"/>
    <col min="2571" max="2571" width="13.7109375" style="32" customWidth="1"/>
    <col min="2572" max="2572" width="10.85546875" style="32" customWidth="1"/>
    <col min="2573" max="2817" width="8.85546875" style="32"/>
    <col min="2818" max="2818" width="13.7109375" style="32" customWidth="1"/>
    <col min="2819" max="2819" width="11" style="32" customWidth="1"/>
    <col min="2820" max="2820" width="14.28515625" style="32" customWidth="1"/>
    <col min="2821" max="2821" width="13.7109375" style="32" customWidth="1"/>
    <col min="2822" max="2822" width="10.85546875" style="32" customWidth="1"/>
    <col min="2823" max="2823" width="8.85546875" style="32"/>
    <col min="2824" max="2824" width="13.7109375" style="32" customWidth="1"/>
    <col min="2825" max="2825" width="10.85546875" style="32" customWidth="1"/>
    <col min="2826" max="2826" width="8.85546875" style="32"/>
    <col min="2827" max="2827" width="13.7109375" style="32" customWidth="1"/>
    <col min="2828" max="2828" width="10.85546875" style="32" customWidth="1"/>
    <col min="2829" max="3073" width="8.85546875" style="32"/>
    <col min="3074" max="3074" width="13.7109375" style="32" customWidth="1"/>
    <col min="3075" max="3075" width="11" style="32" customWidth="1"/>
    <col min="3076" max="3076" width="14.28515625" style="32" customWidth="1"/>
    <col min="3077" max="3077" width="13.7109375" style="32" customWidth="1"/>
    <col min="3078" max="3078" width="10.85546875" style="32" customWidth="1"/>
    <col min="3079" max="3079" width="8.85546875" style="32"/>
    <col min="3080" max="3080" width="13.7109375" style="32" customWidth="1"/>
    <col min="3081" max="3081" width="10.85546875" style="32" customWidth="1"/>
    <col min="3082" max="3082" width="8.85546875" style="32"/>
    <col min="3083" max="3083" width="13.7109375" style="32" customWidth="1"/>
    <col min="3084" max="3084" width="10.85546875" style="32" customWidth="1"/>
    <col min="3085" max="3329" width="8.85546875" style="32"/>
    <col min="3330" max="3330" width="13.7109375" style="32" customWidth="1"/>
    <col min="3331" max="3331" width="11" style="32" customWidth="1"/>
    <col min="3332" max="3332" width="14.28515625" style="32" customWidth="1"/>
    <col min="3333" max="3333" width="13.7109375" style="32" customWidth="1"/>
    <col min="3334" max="3334" width="10.85546875" style="32" customWidth="1"/>
    <col min="3335" max="3335" width="8.85546875" style="32"/>
    <col min="3336" max="3336" width="13.7109375" style="32" customWidth="1"/>
    <col min="3337" max="3337" width="10.85546875" style="32" customWidth="1"/>
    <col min="3338" max="3338" width="8.85546875" style="32"/>
    <col min="3339" max="3339" width="13.7109375" style="32" customWidth="1"/>
    <col min="3340" max="3340" width="10.85546875" style="32" customWidth="1"/>
    <col min="3341" max="3585" width="8.85546875" style="32"/>
    <col min="3586" max="3586" width="13.7109375" style="32" customWidth="1"/>
    <col min="3587" max="3587" width="11" style="32" customWidth="1"/>
    <col min="3588" max="3588" width="14.28515625" style="32" customWidth="1"/>
    <col min="3589" max="3589" width="13.7109375" style="32" customWidth="1"/>
    <col min="3590" max="3590" width="10.85546875" style="32" customWidth="1"/>
    <col min="3591" max="3591" width="8.85546875" style="32"/>
    <col min="3592" max="3592" width="13.7109375" style="32" customWidth="1"/>
    <col min="3593" max="3593" width="10.85546875" style="32" customWidth="1"/>
    <col min="3594" max="3594" width="8.85546875" style="32"/>
    <col min="3595" max="3595" width="13.7109375" style="32" customWidth="1"/>
    <col min="3596" max="3596" width="10.85546875" style="32" customWidth="1"/>
    <col min="3597" max="3841" width="8.85546875" style="32"/>
    <col min="3842" max="3842" width="13.7109375" style="32" customWidth="1"/>
    <col min="3843" max="3843" width="11" style="32" customWidth="1"/>
    <col min="3844" max="3844" width="14.28515625" style="32" customWidth="1"/>
    <col min="3845" max="3845" width="13.7109375" style="32" customWidth="1"/>
    <col min="3846" max="3846" width="10.85546875" style="32" customWidth="1"/>
    <col min="3847" max="3847" width="8.85546875" style="32"/>
    <col min="3848" max="3848" width="13.7109375" style="32" customWidth="1"/>
    <col min="3849" max="3849" width="10.85546875" style="32" customWidth="1"/>
    <col min="3850" max="3850" width="8.85546875" style="32"/>
    <col min="3851" max="3851" width="13.7109375" style="32" customWidth="1"/>
    <col min="3852" max="3852" width="10.85546875" style="32" customWidth="1"/>
    <col min="3853" max="4097" width="8.85546875" style="32"/>
    <col min="4098" max="4098" width="13.7109375" style="32" customWidth="1"/>
    <col min="4099" max="4099" width="11" style="32" customWidth="1"/>
    <col min="4100" max="4100" width="14.28515625" style="32" customWidth="1"/>
    <col min="4101" max="4101" width="13.7109375" style="32" customWidth="1"/>
    <col min="4102" max="4102" width="10.85546875" style="32" customWidth="1"/>
    <col min="4103" max="4103" width="8.85546875" style="32"/>
    <col min="4104" max="4104" width="13.7109375" style="32" customWidth="1"/>
    <col min="4105" max="4105" width="10.85546875" style="32" customWidth="1"/>
    <col min="4106" max="4106" width="8.85546875" style="32"/>
    <col min="4107" max="4107" width="13.7109375" style="32" customWidth="1"/>
    <col min="4108" max="4108" width="10.85546875" style="32" customWidth="1"/>
    <col min="4109" max="4353" width="8.85546875" style="32"/>
    <col min="4354" max="4354" width="13.7109375" style="32" customWidth="1"/>
    <col min="4355" max="4355" width="11" style="32" customWidth="1"/>
    <col min="4356" max="4356" width="14.28515625" style="32" customWidth="1"/>
    <col min="4357" max="4357" width="13.7109375" style="32" customWidth="1"/>
    <col min="4358" max="4358" width="10.85546875" style="32" customWidth="1"/>
    <col min="4359" max="4359" width="8.85546875" style="32"/>
    <col min="4360" max="4360" width="13.7109375" style="32" customWidth="1"/>
    <col min="4361" max="4361" width="10.85546875" style="32" customWidth="1"/>
    <col min="4362" max="4362" width="8.85546875" style="32"/>
    <col min="4363" max="4363" width="13.7109375" style="32" customWidth="1"/>
    <col min="4364" max="4364" width="10.85546875" style="32" customWidth="1"/>
    <col min="4365" max="4609" width="8.85546875" style="32"/>
    <col min="4610" max="4610" width="13.7109375" style="32" customWidth="1"/>
    <col min="4611" max="4611" width="11" style="32" customWidth="1"/>
    <col min="4612" max="4612" width="14.28515625" style="32" customWidth="1"/>
    <col min="4613" max="4613" width="13.7109375" style="32" customWidth="1"/>
    <col min="4614" max="4614" width="10.85546875" style="32" customWidth="1"/>
    <col min="4615" max="4615" width="8.85546875" style="32"/>
    <col min="4616" max="4616" width="13.7109375" style="32" customWidth="1"/>
    <col min="4617" max="4617" width="10.85546875" style="32" customWidth="1"/>
    <col min="4618" max="4618" width="8.85546875" style="32"/>
    <col min="4619" max="4619" width="13.7109375" style="32" customWidth="1"/>
    <col min="4620" max="4620" width="10.85546875" style="32" customWidth="1"/>
    <col min="4621" max="4865" width="8.85546875" style="32"/>
    <col min="4866" max="4866" width="13.7109375" style="32" customWidth="1"/>
    <col min="4867" max="4867" width="11" style="32" customWidth="1"/>
    <col min="4868" max="4868" width="14.28515625" style="32" customWidth="1"/>
    <col min="4869" max="4869" width="13.7109375" style="32" customWidth="1"/>
    <col min="4870" max="4870" width="10.85546875" style="32" customWidth="1"/>
    <col min="4871" max="4871" width="8.85546875" style="32"/>
    <col min="4872" max="4872" width="13.7109375" style="32" customWidth="1"/>
    <col min="4873" max="4873" width="10.85546875" style="32" customWidth="1"/>
    <col min="4874" max="4874" width="8.85546875" style="32"/>
    <col min="4875" max="4875" width="13.7109375" style="32" customWidth="1"/>
    <col min="4876" max="4876" width="10.85546875" style="32" customWidth="1"/>
    <col min="4877" max="5121" width="8.85546875" style="32"/>
    <col min="5122" max="5122" width="13.7109375" style="32" customWidth="1"/>
    <col min="5123" max="5123" width="11" style="32" customWidth="1"/>
    <col min="5124" max="5124" width="14.28515625" style="32" customWidth="1"/>
    <col min="5125" max="5125" width="13.7109375" style="32" customWidth="1"/>
    <col min="5126" max="5126" width="10.85546875" style="32" customWidth="1"/>
    <col min="5127" max="5127" width="8.85546875" style="32"/>
    <col min="5128" max="5128" width="13.7109375" style="32" customWidth="1"/>
    <col min="5129" max="5129" width="10.85546875" style="32" customWidth="1"/>
    <col min="5130" max="5130" width="8.85546875" style="32"/>
    <col min="5131" max="5131" width="13.7109375" style="32" customWidth="1"/>
    <col min="5132" max="5132" width="10.85546875" style="32" customWidth="1"/>
    <col min="5133" max="5377" width="8.85546875" style="32"/>
    <col min="5378" max="5378" width="13.7109375" style="32" customWidth="1"/>
    <col min="5379" max="5379" width="11" style="32" customWidth="1"/>
    <col min="5380" max="5380" width="14.28515625" style="32" customWidth="1"/>
    <col min="5381" max="5381" width="13.7109375" style="32" customWidth="1"/>
    <col min="5382" max="5382" width="10.85546875" style="32" customWidth="1"/>
    <col min="5383" max="5383" width="8.85546875" style="32"/>
    <col min="5384" max="5384" width="13.7109375" style="32" customWidth="1"/>
    <col min="5385" max="5385" width="10.85546875" style="32" customWidth="1"/>
    <col min="5386" max="5386" width="8.85546875" style="32"/>
    <col min="5387" max="5387" width="13.7109375" style="32" customWidth="1"/>
    <col min="5388" max="5388" width="10.85546875" style="32" customWidth="1"/>
    <col min="5389" max="5633" width="8.85546875" style="32"/>
    <col min="5634" max="5634" width="13.7109375" style="32" customWidth="1"/>
    <col min="5635" max="5635" width="11" style="32" customWidth="1"/>
    <col min="5636" max="5636" width="14.28515625" style="32" customWidth="1"/>
    <col min="5637" max="5637" width="13.7109375" style="32" customWidth="1"/>
    <col min="5638" max="5638" width="10.85546875" style="32" customWidth="1"/>
    <col min="5639" max="5639" width="8.85546875" style="32"/>
    <col min="5640" max="5640" width="13.7109375" style="32" customWidth="1"/>
    <col min="5641" max="5641" width="10.85546875" style="32" customWidth="1"/>
    <col min="5642" max="5642" width="8.85546875" style="32"/>
    <col min="5643" max="5643" width="13.7109375" style="32" customWidth="1"/>
    <col min="5644" max="5644" width="10.85546875" style="32" customWidth="1"/>
    <col min="5645" max="5889" width="8.85546875" style="32"/>
    <col min="5890" max="5890" width="13.7109375" style="32" customWidth="1"/>
    <col min="5891" max="5891" width="11" style="32" customWidth="1"/>
    <col min="5892" max="5892" width="14.28515625" style="32" customWidth="1"/>
    <col min="5893" max="5893" width="13.7109375" style="32" customWidth="1"/>
    <col min="5894" max="5894" width="10.85546875" style="32" customWidth="1"/>
    <col min="5895" max="5895" width="8.85546875" style="32"/>
    <col min="5896" max="5896" width="13.7109375" style="32" customWidth="1"/>
    <col min="5897" max="5897" width="10.85546875" style="32" customWidth="1"/>
    <col min="5898" max="5898" width="8.85546875" style="32"/>
    <col min="5899" max="5899" width="13.7109375" style="32" customWidth="1"/>
    <col min="5900" max="5900" width="10.85546875" style="32" customWidth="1"/>
    <col min="5901" max="6145" width="8.85546875" style="32"/>
    <col min="6146" max="6146" width="13.7109375" style="32" customWidth="1"/>
    <col min="6147" max="6147" width="11" style="32" customWidth="1"/>
    <col min="6148" max="6148" width="14.28515625" style="32" customWidth="1"/>
    <col min="6149" max="6149" width="13.7109375" style="32" customWidth="1"/>
    <col min="6150" max="6150" width="10.85546875" style="32" customWidth="1"/>
    <col min="6151" max="6151" width="8.85546875" style="32"/>
    <col min="6152" max="6152" width="13.7109375" style="32" customWidth="1"/>
    <col min="6153" max="6153" width="10.85546875" style="32" customWidth="1"/>
    <col min="6154" max="6154" width="8.85546875" style="32"/>
    <col min="6155" max="6155" width="13.7109375" style="32" customWidth="1"/>
    <col min="6156" max="6156" width="10.85546875" style="32" customWidth="1"/>
    <col min="6157" max="6401" width="8.85546875" style="32"/>
    <col min="6402" max="6402" width="13.7109375" style="32" customWidth="1"/>
    <col min="6403" max="6403" width="11" style="32" customWidth="1"/>
    <col min="6404" max="6404" width="14.28515625" style="32" customWidth="1"/>
    <col min="6405" max="6405" width="13.7109375" style="32" customWidth="1"/>
    <col min="6406" max="6406" width="10.85546875" style="32" customWidth="1"/>
    <col min="6407" max="6407" width="8.85546875" style="32"/>
    <col min="6408" max="6408" width="13.7109375" style="32" customWidth="1"/>
    <col min="6409" max="6409" width="10.85546875" style="32" customWidth="1"/>
    <col min="6410" max="6410" width="8.85546875" style="32"/>
    <col min="6411" max="6411" width="13.7109375" style="32" customWidth="1"/>
    <col min="6412" max="6412" width="10.85546875" style="32" customWidth="1"/>
    <col min="6413" max="6657" width="8.85546875" style="32"/>
    <col min="6658" max="6658" width="13.7109375" style="32" customWidth="1"/>
    <col min="6659" max="6659" width="11" style="32" customWidth="1"/>
    <col min="6660" max="6660" width="14.28515625" style="32" customWidth="1"/>
    <col min="6661" max="6661" width="13.7109375" style="32" customWidth="1"/>
    <col min="6662" max="6662" width="10.85546875" style="32" customWidth="1"/>
    <col min="6663" max="6663" width="8.85546875" style="32"/>
    <col min="6664" max="6664" width="13.7109375" style="32" customWidth="1"/>
    <col min="6665" max="6665" width="10.85546875" style="32" customWidth="1"/>
    <col min="6666" max="6666" width="8.85546875" style="32"/>
    <col min="6667" max="6667" width="13.7109375" style="32" customWidth="1"/>
    <col min="6668" max="6668" width="10.85546875" style="32" customWidth="1"/>
    <col min="6669" max="6913" width="8.85546875" style="32"/>
    <col min="6914" max="6914" width="13.7109375" style="32" customWidth="1"/>
    <col min="6915" max="6915" width="11" style="32" customWidth="1"/>
    <col min="6916" max="6916" width="14.28515625" style="32" customWidth="1"/>
    <col min="6917" max="6917" width="13.7109375" style="32" customWidth="1"/>
    <col min="6918" max="6918" width="10.85546875" style="32" customWidth="1"/>
    <col min="6919" max="6919" width="8.85546875" style="32"/>
    <col min="6920" max="6920" width="13.7109375" style="32" customWidth="1"/>
    <col min="6921" max="6921" width="10.85546875" style="32" customWidth="1"/>
    <col min="6922" max="6922" width="8.85546875" style="32"/>
    <col min="6923" max="6923" width="13.7109375" style="32" customWidth="1"/>
    <col min="6924" max="6924" width="10.85546875" style="32" customWidth="1"/>
    <col min="6925" max="7169" width="8.85546875" style="32"/>
    <col min="7170" max="7170" width="13.7109375" style="32" customWidth="1"/>
    <col min="7171" max="7171" width="11" style="32" customWidth="1"/>
    <col min="7172" max="7172" width="14.28515625" style="32" customWidth="1"/>
    <col min="7173" max="7173" width="13.7109375" style="32" customWidth="1"/>
    <col min="7174" max="7174" width="10.85546875" style="32" customWidth="1"/>
    <col min="7175" max="7175" width="8.85546875" style="32"/>
    <col min="7176" max="7176" width="13.7109375" style="32" customWidth="1"/>
    <col min="7177" max="7177" width="10.85546875" style="32" customWidth="1"/>
    <col min="7178" max="7178" width="8.85546875" style="32"/>
    <col min="7179" max="7179" width="13.7109375" style="32" customWidth="1"/>
    <col min="7180" max="7180" width="10.85546875" style="32" customWidth="1"/>
    <col min="7181" max="7425" width="8.85546875" style="32"/>
    <col min="7426" max="7426" width="13.7109375" style="32" customWidth="1"/>
    <col min="7427" max="7427" width="11" style="32" customWidth="1"/>
    <col min="7428" max="7428" width="14.28515625" style="32" customWidth="1"/>
    <col min="7429" max="7429" width="13.7109375" style="32" customWidth="1"/>
    <col min="7430" max="7430" width="10.85546875" style="32" customWidth="1"/>
    <col min="7431" max="7431" width="8.85546875" style="32"/>
    <col min="7432" max="7432" width="13.7109375" style="32" customWidth="1"/>
    <col min="7433" max="7433" width="10.85546875" style="32" customWidth="1"/>
    <col min="7434" max="7434" width="8.85546875" style="32"/>
    <col min="7435" max="7435" width="13.7109375" style="32" customWidth="1"/>
    <col min="7436" max="7436" width="10.85546875" style="32" customWidth="1"/>
    <col min="7437" max="7681" width="8.85546875" style="32"/>
    <col min="7682" max="7682" width="13.7109375" style="32" customWidth="1"/>
    <col min="7683" max="7683" width="11" style="32" customWidth="1"/>
    <col min="7684" max="7684" width="14.28515625" style="32" customWidth="1"/>
    <col min="7685" max="7685" width="13.7109375" style="32" customWidth="1"/>
    <col min="7686" max="7686" width="10.85546875" style="32" customWidth="1"/>
    <col min="7687" max="7687" width="8.85546875" style="32"/>
    <col min="7688" max="7688" width="13.7109375" style="32" customWidth="1"/>
    <col min="7689" max="7689" width="10.85546875" style="32" customWidth="1"/>
    <col min="7690" max="7690" width="8.85546875" style="32"/>
    <col min="7691" max="7691" width="13.7109375" style="32" customWidth="1"/>
    <col min="7692" max="7692" width="10.85546875" style="32" customWidth="1"/>
    <col min="7693" max="7937" width="8.85546875" style="32"/>
    <col min="7938" max="7938" width="13.7109375" style="32" customWidth="1"/>
    <col min="7939" max="7939" width="11" style="32" customWidth="1"/>
    <col min="7940" max="7940" width="14.28515625" style="32" customWidth="1"/>
    <col min="7941" max="7941" width="13.7109375" style="32" customWidth="1"/>
    <col min="7942" max="7942" width="10.85546875" style="32" customWidth="1"/>
    <col min="7943" max="7943" width="8.85546875" style="32"/>
    <col min="7944" max="7944" width="13.7109375" style="32" customWidth="1"/>
    <col min="7945" max="7945" width="10.85546875" style="32" customWidth="1"/>
    <col min="7946" max="7946" width="8.85546875" style="32"/>
    <col min="7947" max="7947" width="13.7109375" style="32" customWidth="1"/>
    <col min="7948" max="7948" width="10.85546875" style="32" customWidth="1"/>
    <col min="7949" max="8193" width="8.85546875" style="32"/>
    <col min="8194" max="8194" width="13.7109375" style="32" customWidth="1"/>
    <col min="8195" max="8195" width="11" style="32" customWidth="1"/>
    <col min="8196" max="8196" width="14.28515625" style="32" customWidth="1"/>
    <col min="8197" max="8197" width="13.7109375" style="32" customWidth="1"/>
    <col min="8198" max="8198" width="10.85546875" style="32" customWidth="1"/>
    <col min="8199" max="8199" width="8.85546875" style="32"/>
    <col min="8200" max="8200" width="13.7109375" style="32" customWidth="1"/>
    <col min="8201" max="8201" width="10.85546875" style="32" customWidth="1"/>
    <col min="8202" max="8202" width="8.85546875" style="32"/>
    <col min="8203" max="8203" width="13.7109375" style="32" customWidth="1"/>
    <col min="8204" max="8204" width="10.85546875" style="32" customWidth="1"/>
    <col min="8205" max="8449" width="8.85546875" style="32"/>
    <col min="8450" max="8450" width="13.7109375" style="32" customWidth="1"/>
    <col min="8451" max="8451" width="11" style="32" customWidth="1"/>
    <col min="8452" max="8452" width="14.28515625" style="32" customWidth="1"/>
    <col min="8453" max="8453" width="13.7109375" style="32" customWidth="1"/>
    <col min="8454" max="8454" width="10.85546875" style="32" customWidth="1"/>
    <col min="8455" max="8455" width="8.85546875" style="32"/>
    <col min="8456" max="8456" width="13.7109375" style="32" customWidth="1"/>
    <col min="8457" max="8457" width="10.85546875" style="32" customWidth="1"/>
    <col min="8458" max="8458" width="8.85546875" style="32"/>
    <col min="8459" max="8459" width="13.7109375" style="32" customWidth="1"/>
    <col min="8460" max="8460" width="10.85546875" style="32" customWidth="1"/>
    <col min="8461" max="8705" width="8.85546875" style="32"/>
    <col min="8706" max="8706" width="13.7109375" style="32" customWidth="1"/>
    <col min="8707" max="8707" width="11" style="32" customWidth="1"/>
    <col min="8708" max="8708" width="14.28515625" style="32" customWidth="1"/>
    <col min="8709" max="8709" width="13.7109375" style="32" customWidth="1"/>
    <col min="8710" max="8710" width="10.85546875" style="32" customWidth="1"/>
    <col min="8711" max="8711" width="8.85546875" style="32"/>
    <col min="8712" max="8712" width="13.7109375" style="32" customWidth="1"/>
    <col min="8713" max="8713" width="10.85546875" style="32" customWidth="1"/>
    <col min="8714" max="8714" width="8.85546875" style="32"/>
    <col min="8715" max="8715" width="13.7109375" style="32" customWidth="1"/>
    <col min="8716" max="8716" width="10.85546875" style="32" customWidth="1"/>
    <col min="8717" max="8961" width="8.85546875" style="32"/>
    <col min="8962" max="8962" width="13.7109375" style="32" customWidth="1"/>
    <col min="8963" max="8963" width="11" style="32" customWidth="1"/>
    <col min="8964" max="8964" width="14.28515625" style="32" customWidth="1"/>
    <col min="8965" max="8965" width="13.7109375" style="32" customWidth="1"/>
    <col min="8966" max="8966" width="10.85546875" style="32" customWidth="1"/>
    <col min="8967" max="8967" width="8.85546875" style="32"/>
    <col min="8968" max="8968" width="13.7109375" style="32" customWidth="1"/>
    <col min="8969" max="8969" width="10.85546875" style="32" customWidth="1"/>
    <col min="8970" max="8970" width="8.85546875" style="32"/>
    <col min="8971" max="8971" width="13.7109375" style="32" customWidth="1"/>
    <col min="8972" max="8972" width="10.85546875" style="32" customWidth="1"/>
    <col min="8973" max="9217" width="8.85546875" style="32"/>
    <col min="9218" max="9218" width="13.7109375" style="32" customWidth="1"/>
    <col min="9219" max="9219" width="11" style="32" customWidth="1"/>
    <col min="9220" max="9220" width="14.28515625" style="32" customWidth="1"/>
    <col min="9221" max="9221" width="13.7109375" style="32" customWidth="1"/>
    <col min="9222" max="9222" width="10.85546875" style="32" customWidth="1"/>
    <col min="9223" max="9223" width="8.85546875" style="32"/>
    <col min="9224" max="9224" width="13.7109375" style="32" customWidth="1"/>
    <col min="9225" max="9225" width="10.85546875" style="32" customWidth="1"/>
    <col min="9226" max="9226" width="8.85546875" style="32"/>
    <col min="9227" max="9227" width="13.7109375" style="32" customWidth="1"/>
    <col min="9228" max="9228" width="10.85546875" style="32" customWidth="1"/>
    <col min="9229" max="9473" width="8.85546875" style="32"/>
    <col min="9474" max="9474" width="13.7109375" style="32" customWidth="1"/>
    <col min="9475" max="9475" width="11" style="32" customWidth="1"/>
    <col min="9476" max="9476" width="14.28515625" style="32" customWidth="1"/>
    <col min="9477" max="9477" width="13.7109375" style="32" customWidth="1"/>
    <col min="9478" max="9478" width="10.85546875" style="32" customWidth="1"/>
    <col min="9479" max="9479" width="8.85546875" style="32"/>
    <col min="9480" max="9480" width="13.7109375" style="32" customWidth="1"/>
    <col min="9481" max="9481" width="10.85546875" style="32" customWidth="1"/>
    <col min="9482" max="9482" width="8.85546875" style="32"/>
    <col min="9483" max="9483" width="13.7109375" style="32" customWidth="1"/>
    <col min="9484" max="9484" width="10.85546875" style="32" customWidth="1"/>
    <col min="9485" max="9729" width="8.85546875" style="32"/>
    <col min="9730" max="9730" width="13.7109375" style="32" customWidth="1"/>
    <col min="9731" max="9731" width="11" style="32" customWidth="1"/>
    <col min="9732" max="9732" width="14.28515625" style="32" customWidth="1"/>
    <col min="9733" max="9733" width="13.7109375" style="32" customWidth="1"/>
    <col min="9734" max="9734" width="10.85546875" style="32" customWidth="1"/>
    <col min="9735" max="9735" width="8.85546875" style="32"/>
    <col min="9736" max="9736" width="13.7109375" style="32" customWidth="1"/>
    <col min="9737" max="9737" width="10.85546875" style="32" customWidth="1"/>
    <col min="9738" max="9738" width="8.85546875" style="32"/>
    <col min="9739" max="9739" width="13.7109375" style="32" customWidth="1"/>
    <col min="9740" max="9740" width="10.85546875" style="32" customWidth="1"/>
    <col min="9741" max="9985" width="8.85546875" style="32"/>
    <col min="9986" max="9986" width="13.7109375" style="32" customWidth="1"/>
    <col min="9987" max="9987" width="11" style="32" customWidth="1"/>
    <col min="9988" max="9988" width="14.28515625" style="32" customWidth="1"/>
    <col min="9989" max="9989" width="13.7109375" style="32" customWidth="1"/>
    <col min="9990" max="9990" width="10.85546875" style="32" customWidth="1"/>
    <col min="9991" max="9991" width="8.85546875" style="32"/>
    <col min="9992" max="9992" width="13.7109375" style="32" customWidth="1"/>
    <col min="9993" max="9993" width="10.85546875" style="32" customWidth="1"/>
    <col min="9994" max="9994" width="8.85546875" style="32"/>
    <col min="9995" max="9995" width="13.7109375" style="32" customWidth="1"/>
    <col min="9996" max="9996" width="10.85546875" style="32" customWidth="1"/>
    <col min="9997" max="10241" width="8.85546875" style="32"/>
    <col min="10242" max="10242" width="13.7109375" style="32" customWidth="1"/>
    <col min="10243" max="10243" width="11" style="32" customWidth="1"/>
    <col min="10244" max="10244" width="14.28515625" style="32" customWidth="1"/>
    <col min="10245" max="10245" width="13.7109375" style="32" customWidth="1"/>
    <col min="10246" max="10246" width="10.85546875" style="32" customWidth="1"/>
    <col min="10247" max="10247" width="8.85546875" style="32"/>
    <col min="10248" max="10248" width="13.7109375" style="32" customWidth="1"/>
    <col min="10249" max="10249" width="10.85546875" style="32" customWidth="1"/>
    <col min="10250" max="10250" width="8.85546875" style="32"/>
    <col min="10251" max="10251" width="13.7109375" style="32" customWidth="1"/>
    <col min="10252" max="10252" width="10.85546875" style="32" customWidth="1"/>
    <col min="10253" max="10497" width="8.85546875" style="32"/>
    <col min="10498" max="10498" width="13.7109375" style="32" customWidth="1"/>
    <col min="10499" max="10499" width="11" style="32" customWidth="1"/>
    <col min="10500" max="10500" width="14.28515625" style="32" customWidth="1"/>
    <col min="10501" max="10501" width="13.7109375" style="32" customWidth="1"/>
    <col min="10502" max="10502" width="10.85546875" style="32" customWidth="1"/>
    <col min="10503" max="10503" width="8.85546875" style="32"/>
    <col min="10504" max="10504" width="13.7109375" style="32" customWidth="1"/>
    <col min="10505" max="10505" width="10.85546875" style="32" customWidth="1"/>
    <col min="10506" max="10506" width="8.85546875" style="32"/>
    <col min="10507" max="10507" width="13.7109375" style="32" customWidth="1"/>
    <col min="10508" max="10508" width="10.85546875" style="32" customWidth="1"/>
    <col min="10509" max="10753" width="8.85546875" style="32"/>
    <col min="10754" max="10754" width="13.7109375" style="32" customWidth="1"/>
    <col min="10755" max="10755" width="11" style="32" customWidth="1"/>
    <col min="10756" max="10756" width="14.28515625" style="32" customWidth="1"/>
    <col min="10757" max="10757" width="13.7109375" style="32" customWidth="1"/>
    <col min="10758" max="10758" width="10.85546875" style="32" customWidth="1"/>
    <col min="10759" max="10759" width="8.85546875" style="32"/>
    <col min="10760" max="10760" width="13.7109375" style="32" customWidth="1"/>
    <col min="10761" max="10761" width="10.85546875" style="32" customWidth="1"/>
    <col min="10762" max="10762" width="8.85546875" style="32"/>
    <col min="10763" max="10763" width="13.7109375" style="32" customWidth="1"/>
    <col min="10764" max="10764" width="10.85546875" style="32" customWidth="1"/>
    <col min="10765" max="11009" width="8.85546875" style="32"/>
    <col min="11010" max="11010" width="13.7109375" style="32" customWidth="1"/>
    <col min="11011" max="11011" width="11" style="32" customWidth="1"/>
    <col min="11012" max="11012" width="14.28515625" style="32" customWidth="1"/>
    <col min="11013" max="11013" width="13.7109375" style="32" customWidth="1"/>
    <col min="11014" max="11014" width="10.85546875" style="32" customWidth="1"/>
    <col min="11015" max="11015" width="8.85546875" style="32"/>
    <col min="11016" max="11016" width="13.7109375" style="32" customWidth="1"/>
    <col min="11017" max="11017" width="10.85546875" style="32" customWidth="1"/>
    <col min="11018" max="11018" width="8.85546875" style="32"/>
    <col min="11019" max="11019" width="13.7109375" style="32" customWidth="1"/>
    <col min="11020" max="11020" width="10.85546875" style="32" customWidth="1"/>
    <col min="11021" max="11265" width="8.85546875" style="32"/>
    <col min="11266" max="11266" width="13.7109375" style="32" customWidth="1"/>
    <col min="11267" max="11267" width="11" style="32" customWidth="1"/>
    <col min="11268" max="11268" width="14.28515625" style="32" customWidth="1"/>
    <col min="11269" max="11269" width="13.7109375" style="32" customWidth="1"/>
    <col min="11270" max="11270" width="10.85546875" style="32" customWidth="1"/>
    <col min="11271" max="11271" width="8.85546875" style="32"/>
    <col min="11272" max="11272" width="13.7109375" style="32" customWidth="1"/>
    <col min="11273" max="11273" width="10.85546875" style="32" customWidth="1"/>
    <col min="11274" max="11274" width="8.85546875" style="32"/>
    <col min="11275" max="11275" width="13.7109375" style="32" customWidth="1"/>
    <col min="11276" max="11276" width="10.85546875" style="32" customWidth="1"/>
    <col min="11277" max="11521" width="8.85546875" style="32"/>
    <col min="11522" max="11522" width="13.7109375" style="32" customWidth="1"/>
    <col min="11523" max="11523" width="11" style="32" customWidth="1"/>
    <col min="11524" max="11524" width="14.28515625" style="32" customWidth="1"/>
    <col min="11525" max="11525" width="13.7109375" style="32" customWidth="1"/>
    <col min="11526" max="11526" width="10.85546875" style="32" customWidth="1"/>
    <col min="11527" max="11527" width="8.85546875" style="32"/>
    <col min="11528" max="11528" width="13.7109375" style="32" customWidth="1"/>
    <col min="11529" max="11529" width="10.85546875" style="32" customWidth="1"/>
    <col min="11530" max="11530" width="8.85546875" style="32"/>
    <col min="11531" max="11531" width="13.7109375" style="32" customWidth="1"/>
    <col min="11532" max="11532" width="10.85546875" style="32" customWidth="1"/>
    <col min="11533" max="11777" width="8.85546875" style="32"/>
    <col min="11778" max="11778" width="13.7109375" style="32" customWidth="1"/>
    <col min="11779" max="11779" width="11" style="32" customWidth="1"/>
    <col min="11780" max="11780" width="14.28515625" style="32" customWidth="1"/>
    <col min="11781" max="11781" width="13.7109375" style="32" customWidth="1"/>
    <col min="11782" max="11782" width="10.85546875" style="32" customWidth="1"/>
    <col min="11783" max="11783" width="8.85546875" style="32"/>
    <col min="11784" max="11784" width="13.7109375" style="32" customWidth="1"/>
    <col min="11785" max="11785" width="10.85546875" style="32" customWidth="1"/>
    <col min="11786" max="11786" width="8.85546875" style="32"/>
    <col min="11787" max="11787" width="13.7109375" style="32" customWidth="1"/>
    <col min="11788" max="11788" width="10.85546875" style="32" customWidth="1"/>
    <col min="11789" max="12033" width="8.85546875" style="32"/>
    <col min="12034" max="12034" width="13.7109375" style="32" customWidth="1"/>
    <col min="12035" max="12035" width="11" style="32" customWidth="1"/>
    <col min="12036" max="12036" width="14.28515625" style="32" customWidth="1"/>
    <col min="12037" max="12037" width="13.7109375" style="32" customWidth="1"/>
    <col min="12038" max="12038" width="10.85546875" style="32" customWidth="1"/>
    <col min="12039" max="12039" width="8.85546875" style="32"/>
    <col min="12040" max="12040" width="13.7109375" style="32" customWidth="1"/>
    <col min="12041" max="12041" width="10.85546875" style="32" customWidth="1"/>
    <col min="12042" max="12042" width="8.85546875" style="32"/>
    <col min="12043" max="12043" width="13.7109375" style="32" customWidth="1"/>
    <col min="12044" max="12044" width="10.85546875" style="32" customWidth="1"/>
    <col min="12045" max="12289" width="8.85546875" style="32"/>
    <col min="12290" max="12290" width="13.7109375" style="32" customWidth="1"/>
    <col min="12291" max="12291" width="11" style="32" customWidth="1"/>
    <col min="12292" max="12292" width="14.28515625" style="32" customWidth="1"/>
    <col min="12293" max="12293" width="13.7109375" style="32" customWidth="1"/>
    <col min="12294" max="12294" width="10.85546875" style="32" customWidth="1"/>
    <col min="12295" max="12295" width="8.85546875" style="32"/>
    <col min="12296" max="12296" width="13.7109375" style="32" customWidth="1"/>
    <col min="12297" max="12297" width="10.85546875" style="32" customWidth="1"/>
    <col min="12298" max="12298" width="8.85546875" style="32"/>
    <col min="12299" max="12299" width="13.7109375" style="32" customWidth="1"/>
    <col min="12300" max="12300" width="10.85546875" style="32" customWidth="1"/>
    <col min="12301" max="12545" width="8.85546875" style="32"/>
    <col min="12546" max="12546" width="13.7109375" style="32" customWidth="1"/>
    <col min="12547" max="12547" width="11" style="32" customWidth="1"/>
    <col min="12548" max="12548" width="14.28515625" style="32" customWidth="1"/>
    <col min="12549" max="12549" width="13.7109375" style="32" customWidth="1"/>
    <col min="12550" max="12550" width="10.85546875" style="32" customWidth="1"/>
    <col min="12551" max="12551" width="8.85546875" style="32"/>
    <col min="12552" max="12552" width="13.7109375" style="32" customWidth="1"/>
    <col min="12553" max="12553" width="10.85546875" style="32" customWidth="1"/>
    <col min="12554" max="12554" width="8.85546875" style="32"/>
    <col min="12555" max="12555" width="13.7109375" style="32" customWidth="1"/>
    <col min="12556" max="12556" width="10.85546875" style="32" customWidth="1"/>
    <col min="12557" max="12801" width="8.85546875" style="32"/>
    <col min="12802" max="12802" width="13.7109375" style="32" customWidth="1"/>
    <col min="12803" max="12803" width="11" style="32" customWidth="1"/>
    <col min="12804" max="12804" width="14.28515625" style="32" customWidth="1"/>
    <col min="12805" max="12805" width="13.7109375" style="32" customWidth="1"/>
    <col min="12806" max="12806" width="10.85546875" style="32" customWidth="1"/>
    <col min="12807" max="12807" width="8.85546875" style="32"/>
    <col min="12808" max="12808" width="13.7109375" style="32" customWidth="1"/>
    <col min="12809" max="12809" width="10.85546875" style="32" customWidth="1"/>
    <col min="12810" max="12810" width="8.85546875" style="32"/>
    <col min="12811" max="12811" width="13.7109375" style="32" customWidth="1"/>
    <col min="12812" max="12812" width="10.85546875" style="32" customWidth="1"/>
    <col min="12813" max="13057" width="8.85546875" style="32"/>
    <col min="13058" max="13058" width="13.7109375" style="32" customWidth="1"/>
    <col min="13059" max="13059" width="11" style="32" customWidth="1"/>
    <col min="13060" max="13060" width="14.28515625" style="32" customWidth="1"/>
    <col min="13061" max="13061" width="13.7109375" style="32" customWidth="1"/>
    <col min="13062" max="13062" width="10.85546875" style="32" customWidth="1"/>
    <col min="13063" max="13063" width="8.85546875" style="32"/>
    <col min="13064" max="13064" width="13.7109375" style="32" customWidth="1"/>
    <col min="13065" max="13065" width="10.85546875" style="32" customWidth="1"/>
    <col min="13066" max="13066" width="8.85546875" style="32"/>
    <col min="13067" max="13067" width="13.7109375" style="32" customWidth="1"/>
    <col min="13068" max="13068" width="10.85546875" style="32" customWidth="1"/>
    <col min="13069" max="13313" width="8.85546875" style="32"/>
    <col min="13314" max="13314" width="13.7109375" style="32" customWidth="1"/>
    <col min="13315" max="13315" width="11" style="32" customWidth="1"/>
    <col min="13316" max="13316" width="14.28515625" style="32" customWidth="1"/>
    <col min="13317" max="13317" width="13.7109375" style="32" customWidth="1"/>
    <col min="13318" max="13318" width="10.85546875" style="32" customWidth="1"/>
    <col min="13319" max="13319" width="8.85546875" style="32"/>
    <col min="13320" max="13320" width="13.7109375" style="32" customWidth="1"/>
    <col min="13321" max="13321" width="10.85546875" style="32" customWidth="1"/>
    <col min="13322" max="13322" width="8.85546875" style="32"/>
    <col min="13323" max="13323" width="13.7109375" style="32" customWidth="1"/>
    <col min="13324" max="13324" width="10.85546875" style="32" customWidth="1"/>
    <col min="13325" max="13569" width="8.85546875" style="32"/>
    <col min="13570" max="13570" width="13.7109375" style="32" customWidth="1"/>
    <col min="13571" max="13571" width="11" style="32" customWidth="1"/>
    <col min="13572" max="13572" width="14.28515625" style="32" customWidth="1"/>
    <col min="13573" max="13573" width="13.7109375" style="32" customWidth="1"/>
    <col min="13574" max="13574" width="10.85546875" style="32" customWidth="1"/>
    <col min="13575" max="13575" width="8.85546875" style="32"/>
    <col min="13576" max="13576" width="13.7109375" style="32" customWidth="1"/>
    <col min="13577" max="13577" width="10.85546875" style="32" customWidth="1"/>
    <col min="13578" max="13578" width="8.85546875" style="32"/>
    <col min="13579" max="13579" width="13.7109375" style="32" customWidth="1"/>
    <col min="13580" max="13580" width="10.85546875" style="32" customWidth="1"/>
    <col min="13581" max="13825" width="8.85546875" style="32"/>
    <col min="13826" max="13826" width="13.7109375" style="32" customWidth="1"/>
    <col min="13827" max="13827" width="11" style="32" customWidth="1"/>
    <col min="13828" max="13828" width="14.28515625" style="32" customWidth="1"/>
    <col min="13829" max="13829" width="13.7109375" style="32" customWidth="1"/>
    <col min="13830" max="13830" width="10.85546875" style="32" customWidth="1"/>
    <col min="13831" max="13831" width="8.85546875" style="32"/>
    <col min="13832" max="13832" width="13.7109375" style="32" customWidth="1"/>
    <col min="13833" max="13833" width="10.85546875" style="32" customWidth="1"/>
    <col min="13834" max="13834" width="8.85546875" style="32"/>
    <col min="13835" max="13835" width="13.7109375" style="32" customWidth="1"/>
    <col min="13836" max="13836" width="10.85546875" style="32" customWidth="1"/>
    <col min="13837" max="14081" width="8.85546875" style="32"/>
    <col min="14082" max="14082" width="13.7109375" style="32" customWidth="1"/>
    <col min="14083" max="14083" width="11" style="32" customWidth="1"/>
    <col min="14084" max="14084" width="14.28515625" style="32" customWidth="1"/>
    <col min="14085" max="14085" width="13.7109375" style="32" customWidth="1"/>
    <col min="14086" max="14086" width="10.85546875" style="32" customWidth="1"/>
    <col min="14087" max="14087" width="8.85546875" style="32"/>
    <col min="14088" max="14088" width="13.7109375" style="32" customWidth="1"/>
    <col min="14089" max="14089" width="10.85546875" style="32" customWidth="1"/>
    <col min="14090" max="14090" width="8.85546875" style="32"/>
    <col min="14091" max="14091" width="13.7109375" style="32" customWidth="1"/>
    <col min="14092" max="14092" width="10.85546875" style="32" customWidth="1"/>
    <col min="14093" max="14337" width="8.85546875" style="32"/>
    <col min="14338" max="14338" width="13.7109375" style="32" customWidth="1"/>
    <col min="14339" max="14339" width="11" style="32" customWidth="1"/>
    <col min="14340" max="14340" width="14.28515625" style="32" customWidth="1"/>
    <col min="14341" max="14341" width="13.7109375" style="32" customWidth="1"/>
    <col min="14342" max="14342" width="10.85546875" style="32" customWidth="1"/>
    <col min="14343" max="14343" width="8.85546875" style="32"/>
    <col min="14344" max="14344" width="13.7109375" style="32" customWidth="1"/>
    <col min="14345" max="14345" width="10.85546875" style="32" customWidth="1"/>
    <col min="14346" max="14346" width="8.85546875" style="32"/>
    <col min="14347" max="14347" width="13.7109375" style="32" customWidth="1"/>
    <col min="14348" max="14348" width="10.85546875" style="32" customWidth="1"/>
    <col min="14349" max="14593" width="8.85546875" style="32"/>
    <col min="14594" max="14594" width="13.7109375" style="32" customWidth="1"/>
    <col min="14595" max="14595" width="11" style="32" customWidth="1"/>
    <col min="14596" max="14596" width="14.28515625" style="32" customWidth="1"/>
    <col min="14597" max="14597" width="13.7109375" style="32" customWidth="1"/>
    <col min="14598" max="14598" width="10.85546875" style="32" customWidth="1"/>
    <col min="14599" max="14599" width="8.85546875" style="32"/>
    <col min="14600" max="14600" width="13.7109375" style="32" customWidth="1"/>
    <col min="14601" max="14601" width="10.85546875" style="32" customWidth="1"/>
    <col min="14602" max="14602" width="8.85546875" style="32"/>
    <col min="14603" max="14603" width="13.7109375" style="32" customWidth="1"/>
    <col min="14604" max="14604" width="10.85546875" style="32" customWidth="1"/>
    <col min="14605" max="14849" width="8.85546875" style="32"/>
    <col min="14850" max="14850" width="13.7109375" style="32" customWidth="1"/>
    <col min="14851" max="14851" width="11" style="32" customWidth="1"/>
    <col min="14852" max="14852" width="14.28515625" style="32" customWidth="1"/>
    <col min="14853" max="14853" width="13.7109375" style="32" customWidth="1"/>
    <col min="14854" max="14854" width="10.85546875" style="32" customWidth="1"/>
    <col min="14855" max="14855" width="8.85546875" style="32"/>
    <col min="14856" max="14856" width="13.7109375" style="32" customWidth="1"/>
    <col min="14857" max="14857" width="10.85546875" style="32" customWidth="1"/>
    <col min="14858" max="14858" width="8.85546875" style="32"/>
    <col min="14859" max="14859" width="13.7109375" style="32" customWidth="1"/>
    <col min="14860" max="14860" width="10.85546875" style="32" customWidth="1"/>
    <col min="14861" max="15105" width="8.85546875" style="32"/>
    <col min="15106" max="15106" width="13.7109375" style="32" customWidth="1"/>
    <col min="15107" max="15107" width="11" style="32" customWidth="1"/>
    <col min="15108" max="15108" width="14.28515625" style="32" customWidth="1"/>
    <col min="15109" max="15109" width="13.7109375" style="32" customWidth="1"/>
    <col min="15110" max="15110" width="10.85546875" style="32" customWidth="1"/>
    <col min="15111" max="15111" width="8.85546875" style="32"/>
    <col min="15112" max="15112" width="13.7109375" style="32" customWidth="1"/>
    <col min="15113" max="15113" width="10.85546875" style="32" customWidth="1"/>
    <col min="15114" max="15114" width="8.85546875" style="32"/>
    <col min="15115" max="15115" width="13.7109375" style="32" customWidth="1"/>
    <col min="15116" max="15116" width="10.85546875" style="32" customWidth="1"/>
    <col min="15117" max="15361" width="8.85546875" style="32"/>
    <col min="15362" max="15362" width="13.7109375" style="32" customWidth="1"/>
    <col min="15363" max="15363" width="11" style="32" customWidth="1"/>
    <col min="15364" max="15364" width="14.28515625" style="32" customWidth="1"/>
    <col min="15365" max="15365" width="13.7109375" style="32" customWidth="1"/>
    <col min="15366" max="15366" width="10.85546875" style="32" customWidth="1"/>
    <col min="15367" max="15367" width="8.85546875" style="32"/>
    <col min="15368" max="15368" width="13.7109375" style="32" customWidth="1"/>
    <col min="15369" max="15369" width="10.85546875" style="32" customWidth="1"/>
    <col min="15370" max="15370" width="8.85546875" style="32"/>
    <col min="15371" max="15371" width="13.7109375" style="32" customWidth="1"/>
    <col min="15372" max="15372" width="10.85546875" style="32" customWidth="1"/>
    <col min="15373" max="15617" width="8.85546875" style="32"/>
    <col min="15618" max="15618" width="13.7109375" style="32" customWidth="1"/>
    <col min="15619" max="15619" width="11" style="32" customWidth="1"/>
    <col min="15620" max="15620" width="14.28515625" style="32" customWidth="1"/>
    <col min="15621" max="15621" width="13.7109375" style="32" customWidth="1"/>
    <col min="15622" max="15622" width="10.85546875" style="32" customWidth="1"/>
    <col min="15623" max="15623" width="8.85546875" style="32"/>
    <col min="15624" max="15624" width="13.7109375" style="32" customWidth="1"/>
    <col min="15625" max="15625" width="10.85546875" style="32" customWidth="1"/>
    <col min="15626" max="15626" width="8.85546875" style="32"/>
    <col min="15627" max="15627" width="13.7109375" style="32" customWidth="1"/>
    <col min="15628" max="15628" width="10.85546875" style="32" customWidth="1"/>
    <col min="15629" max="15873" width="8.85546875" style="32"/>
    <col min="15874" max="15874" width="13.7109375" style="32" customWidth="1"/>
    <col min="15875" max="15875" width="11" style="32" customWidth="1"/>
    <col min="15876" max="15876" width="14.28515625" style="32" customWidth="1"/>
    <col min="15877" max="15877" width="13.7109375" style="32" customWidth="1"/>
    <col min="15878" max="15878" width="10.85546875" style="32" customWidth="1"/>
    <col min="15879" max="15879" width="8.85546875" style="32"/>
    <col min="15880" max="15880" width="13.7109375" style="32" customWidth="1"/>
    <col min="15881" max="15881" width="10.85546875" style="32" customWidth="1"/>
    <col min="15882" max="15882" width="8.85546875" style="32"/>
    <col min="15883" max="15883" width="13.7109375" style="32" customWidth="1"/>
    <col min="15884" max="15884" width="10.85546875" style="32" customWidth="1"/>
    <col min="15885" max="16129" width="8.85546875" style="32"/>
    <col min="16130" max="16130" width="13.7109375" style="32" customWidth="1"/>
    <col min="16131" max="16131" width="11" style="32" customWidth="1"/>
    <col min="16132" max="16132" width="14.28515625" style="32" customWidth="1"/>
    <col min="16133" max="16133" width="13.7109375" style="32" customWidth="1"/>
    <col min="16134" max="16134" width="10.85546875" style="32" customWidth="1"/>
    <col min="16135" max="16135" width="8.85546875" style="32"/>
    <col min="16136" max="16136" width="13.7109375" style="32" customWidth="1"/>
    <col min="16137" max="16137" width="10.85546875" style="32" customWidth="1"/>
    <col min="16138" max="16138" width="8.85546875" style="32"/>
    <col min="16139" max="16139" width="13.7109375" style="32" customWidth="1"/>
    <col min="16140" max="16140" width="10.85546875" style="32" customWidth="1"/>
    <col min="16141" max="16384" width="8.85546875" style="32"/>
  </cols>
  <sheetData>
    <row r="1" spans="1:12" x14ac:dyDescent="0.25">
      <c r="A1" s="141" t="s">
        <v>165</v>
      </c>
    </row>
    <row r="3" spans="1:12" x14ac:dyDescent="0.25">
      <c r="A3" s="279" t="s">
        <v>79</v>
      </c>
      <c r="B3" s="279"/>
      <c r="C3" s="279"/>
      <c r="D3" s="280" t="s">
        <v>80</v>
      </c>
      <c r="E3" s="279"/>
      <c r="F3" s="281"/>
      <c r="G3" s="280" t="s">
        <v>81</v>
      </c>
      <c r="H3" s="279"/>
      <c r="I3" s="279"/>
      <c r="J3" s="280" t="s">
        <v>119</v>
      </c>
      <c r="K3" s="279"/>
      <c r="L3" s="279"/>
    </row>
    <row r="4" spans="1:12" x14ac:dyDescent="0.25">
      <c r="A4" s="142" t="s">
        <v>2</v>
      </c>
      <c r="B4" s="143" t="s">
        <v>3</v>
      </c>
      <c r="C4" s="142" t="s">
        <v>4</v>
      </c>
      <c r="D4" s="144" t="s">
        <v>2</v>
      </c>
      <c r="E4" s="143" t="s">
        <v>3</v>
      </c>
      <c r="F4" s="145" t="s">
        <v>4</v>
      </c>
      <c r="G4" s="144" t="s">
        <v>2</v>
      </c>
      <c r="H4" s="143" t="s">
        <v>3</v>
      </c>
      <c r="I4" s="142" t="s">
        <v>4</v>
      </c>
      <c r="J4" s="144" t="s">
        <v>2</v>
      </c>
      <c r="K4" s="143" t="s">
        <v>3</v>
      </c>
      <c r="L4" s="142" t="s">
        <v>4</v>
      </c>
    </row>
    <row r="5" spans="1:12" x14ac:dyDescent="0.25">
      <c r="A5" s="82"/>
      <c r="C5" s="82" t="s">
        <v>54</v>
      </c>
      <c r="D5" s="146"/>
      <c r="F5" s="82" t="s">
        <v>54</v>
      </c>
      <c r="G5" s="146"/>
      <c r="I5" s="82" t="s">
        <v>54</v>
      </c>
      <c r="J5" s="146"/>
      <c r="L5" s="82" t="s">
        <v>54</v>
      </c>
    </row>
    <row r="6" spans="1:12" x14ac:dyDescent="0.25">
      <c r="A6" s="82"/>
      <c r="D6" s="146"/>
      <c r="G6" s="146"/>
      <c r="J6" s="146"/>
      <c r="L6" s="82"/>
    </row>
    <row r="7" spans="1:12" x14ac:dyDescent="0.25">
      <c r="A7" s="82">
        <v>1</v>
      </c>
      <c r="B7" s="135" t="s">
        <v>6</v>
      </c>
      <c r="C7" s="147">
        <v>15</v>
      </c>
      <c r="D7" s="146">
        <v>1</v>
      </c>
      <c r="E7" s="135" t="s">
        <v>14</v>
      </c>
      <c r="F7" s="82">
        <f>11200/(1000)</f>
        <v>11.2</v>
      </c>
      <c r="G7" s="146">
        <v>1</v>
      </c>
      <c r="H7" s="135" t="s">
        <v>27</v>
      </c>
      <c r="I7" s="147">
        <f>2500/(1000)</f>
        <v>2.5</v>
      </c>
      <c r="J7" s="146">
        <v>1</v>
      </c>
      <c r="K7" s="32" t="s">
        <v>6</v>
      </c>
      <c r="L7" s="147">
        <f>24935/(1000)</f>
        <v>24.934999999999999</v>
      </c>
    </row>
    <row r="8" spans="1:12" x14ac:dyDescent="0.25">
      <c r="A8" s="82">
        <v>2</v>
      </c>
      <c r="B8" s="135" t="s">
        <v>9</v>
      </c>
      <c r="C8" s="147">
        <v>10.5</v>
      </c>
      <c r="D8" s="146">
        <v>2</v>
      </c>
      <c r="E8" s="195" t="s">
        <v>183</v>
      </c>
      <c r="F8" s="82">
        <f>7500/(1000)</f>
        <v>7.5</v>
      </c>
      <c r="G8" s="146">
        <v>2</v>
      </c>
      <c r="H8" s="135" t="s">
        <v>21</v>
      </c>
      <c r="I8" s="147">
        <f>1900/(1000)</f>
        <v>1.9</v>
      </c>
      <c r="J8" s="146">
        <v>2</v>
      </c>
      <c r="K8" s="32" t="s">
        <v>9</v>
      </c>
      <c r="L8" s="147">
        <f>17625/(1000)</f>
        <v>17.625</v>
      </c>
    </row>
    <row r="9" spans="1:12" x14ac:dyDescent="0.25">
      <c r="A9" s="82">
        <v>3</v>
      </c>
      <c r="B9" s="135" t="s">
        <v>11</v>
      </c>
      <c r="C9" s="147">
        <v>7</v>
      </c>
      <c r="D9" s="146">
        <v>3</v>
      </c>
      <c r="E9" s="135" t="s">
        <v>8</v>
      </c>
      <c r="F9" s="82">
        <f>7300/(1000)</f>
        <v>7.3</v>
      </c>
      <c r="G9" s="146">
        <v>3</v>
      </c>
      <c r="H9" s="195" t="s">
        <v>183</v>
      </c>
      <c r="I9" s="147">
        <f>1550/(1000)</f>
        <v>1.55</v>
      </c>
      <c r="J9" s="146">
        <v>3</v>
      </c>
      <c r="K9" s="32" t="s">
        <v>14</v>
      </c>
      <c r="L9" s="147">
        <f>17085/(1000)</f>
        <v>17.085000000000001</v>
      </c>
    </row>
    <row r="10" spans="1:12" x14ac:dyDescent="0.25">
      <c r="A10" s="82">
        <v>4</v>
      </c>
      <c r="B10" s="195" t="s">
        <v>183</v>
      </c>
      <c r="C10" s="147">
        <v>6.3</v>
      </c>
      <c r="D10" s="146">
        <v>4</v>
      </c>
      <c r="E10" s="135" t="s">
        <v>6</v>
      </c>
      <c r="F10" s="82">
        <f>6400/(1000)</f>
        <v>6.4</v>
      </c>
      <c r="G10" s="146">
        <v>4</v>
      </c>
      <c r="H10" s="135" t="s">
        <v>7</v>
      </c>
      <c r="I10" s="147">
        <f>1500/(1000)</f>
        <v>1.5</v>
      </c>
      <c r="J10" s="146">
        <v>4</v>
      </c>
      <c r="K10" s="195" t="s">
        <v>183</v>
      </c>
      <c r="L10" s="147">
        <f>15955/(1000)</f>
        <v>15.955</v>
      </c>
    </row>
    <row r="11" spans="1:12" x14ac:dyDescent="0.25">
      <c r="A11" s="82">
        <v>5</v>
      </c>
      <c r="B11" s="135" t="s">
        <v>7</v>
      </c>
      <c r="C11" s="147">
        <v>5</v>
      </c>
      <c r="D11" s="146">
        <v>5</v>
      </c>
      <c r="E11" s="135" t="s">
        <v>118</v>
      </c>
      <c r="F11" s="82">
        <f>6200/(1000)</f>
        <v>6.2</v>
      </c>
      <c r="G11" s="146">
        <v>5</v>
      </c>
      <c r="H11" s="135" t="s">
        <v>126</v>
      </c>
      <c r="I11" s="147">
        <f>1500/(1000)</f>
        <v>1.5</v>
      </c>
      <c r="J11" s="146">
        <v>5</v>
      </c>
      <c r="K11" s="32" t="s">
        <v>29</v>
      </c>
      <c r="L11" s="147">
        <f>13455/(1000)</f>
        <v>13.455</v>
      </c>
    </row>
    <row r="12" spans="1:12" x14ac:dyDescent="0.25">
      <c r="A12" s="82">
        <v>6</v>
      </c>
      <c r="B12" s="135" t="s">
        <v>14</v>
      </c>
      <c r="C12" s="147">
        <v>5</v>
      </c>
      <c r="D12" s="146">
        <v>6</v>
      </c>
      <c r="E12" s="135" t="s">
        <v>28</v>
      </c>
      <c r="F12" s="82">
        <f>6100/(1000)</f>
        <v>6.1</v>
      </c>
      <c r="G12" s="146">
        <v>6</v>
      </c>
      <c r="H12" s="135" t="s">
        <v>118</v>
      </c>
      <c r="I12" s="147">
        <f>1250/(1000)</f>
        <v>1.25</v>
      </c>
      <c r="J12" s="146">
        <v>6</v>
      </c>
      <c r="K12" s="32" t="s">
        <v>11</v>
      </c>
      <c r="L12" s="147">
        <f>13060/(1000)</f>
        <v>13.06</v>
      </c>
    </row>
    <row r="13" spans="1:12" x14ac:dyDescent="0.25">
      <c r="A13" s="82">
        <v>7</v>
      </c>
      <c r="B13" s="135" t="s">
        <v>16</v>
      </c>
      <c r="C13" s="147">
        <v>4.2</v>
      </c>
      <c r="D13" s="146">
        <v>7</v>
      </c>
      <c r="E13" s="135" t="s">
        <v>11</v>
      </c>
      <c r="F13" s="82">
        <f>5400/(1000)</f>
        <v>5.4</v>
      </c>
      <c r="G13" s="146">
        <v>7</v>
      </c>
      <c r="H13" s="135" t="s">
        <v>130</v>
      </c>
      <c r="I13" s="147">
        <f>1200/(1000)</f>
        <v>1.2</v>
      </c>
      <c r="J13" s="146">
        <v>7</v>
      </c>
      <c r="K13" s="32" t="s">
        <v>7</v>
      </c>
      <c r="L13" s="147">
        <f>11760/(1000)</f>
        <v>11.76</v>
      </c>
    </row>
    <row r="14" spans="1:12" x14ac:dyDescent="0.25">
      <c r="A14" s="82">
        <v>8</v>
      </c>
      <c r="B14" s="135" t="s">
        <v>19</v>
      </c>
      <c r="C14" s="147">
        <v>3.7</v>
      </c>
      <c r="D14" s="146">
        <v>8</v>
      </c>
      <c r="E14" s="135" t="s">
        <v>9</v>
      </c>
      <c r="F14" s="82">
        <f>5100/(1000)</f>
        <v>5.0999999999999996</v>
      </c>
      <c r="G14" s="146">
        <v>8</v>
      </c>
      <c r="H14" s="135" t="s">
        <v>29</v>
      </c>
      <c r="I14" s="147">
        <f>1150/(1000)</f>
        <v>1.1499999999999999</v>
      </c>
      <c r="J14" s="146">
        <v>8</v>
      </c>
      <c r="K14" s="32" t="s">
        <v>28</v>
      </c>
      <c r="L14" s="147">
        <f>9710/(1000)</f>
        <v>9.7100000000000009</v>
      </c>
    </row>
    <row r="15" spans="1:12" x14ac:dyDescent="0.25">
      <c r="A15" s="82">
        <v>9</v>
      </c>
      <c r="B15" s="135" t="s">
        <v>21</v>
      </c>
      <c r="C15" s="147">
        <v>3.6</v>
      </c>
      <c r="D15" s="146">
        <v>9</v>
      </c>
      <c r="E15" s="135" t="s">
        <v>27</v>
      </c>
      <c r="F15" s="82">
        <f>3900/(1000)</f>
        <v>3.9</v>
      </c>
      <c r="G15" s="146">
        <v>9</v>
      </c>
      <c r="H15" s="135" t="s">
        <v>23</v>
      </c>
      <c r="I15" s="147">
        <f>1085/(1000)</f>
        <v>1.085</v>
      </c>
      <c r="J15" s="146">
        <v>9</v>
      </c>
      <c r="K15" s="32" t="s">
        <v>118</v>
      </c>
      <c r="L15" s="147">
        <f>9450/(1000)</f>
        <v>9.4499999999999993</v>
      </c>
    </row>
    <row r="16" spans="1:12" x14ac:dyDescent="0.25">
      <c r="A16" s="82">
        <v>10</v>
      </c>
      <c r="B16" s="135" t="s">
        <v>23</v>
      </c>
      <c r="C16" s="148">
        <v>3.1</v>
      </c>
      <c r="D16" s="146">
        <v>10</v>
      </c>
      <c r="E16" s="135" t="s">
        <v>126</v>
      </c>
      <c r="F16" s="82">
        <f>3800/(1000)</f>
        <v>3.8</v>
      </c>
      <c r="G16" s="146">
        <v>10</v>
      </c>
      <c r="H16" s="135" t="s">
        <v>30</v>
      </c>
      <c r="I16" s="147">
        <f>950/(1000)</f>
        <v>0.95</v>
      </c>
      <c r="J16" s="146">
        <v>10</v>
      </c>
      <c r="K16" s="32" t="s">
        <v>8</v>
      </c>
      <c r="L16" s="147">
        <f>9155/(1000)</f>
        <v>9.1549999999999994</v>
      </c>
    </row>
    <row r="17" spans="1:12" x14ac:dyDescent="0.25">
      <c r="A17" s="82"/>
      <c r="B17" s="135"/>
      <c r="C17" s="147"/>
      <c r="D17" s="146"/>
      <c r="E17" s="135"/>
      <c r="F17" s="147"/>
      <c r="G17" s="146"/>
      <c r="H17" s="135"/>
      <c r="I17" s="147"/>
      <c r="J17" s="146"/>
      <c r="L17" s="147"/>
    </row>
    <row r="18" spans="1:12" x14ac:dyDescent="0.25">
      <c r="A18" s="82"/>
      <c r="B18" s="135" t="s">
        <v>24</v>
      </c>
      <c r="C18" s="147">
        <f>C20-(SUM(C7:C16))</f>
        <v>30.625999999999991</v>
      </c>
      <c r="D18" s="146"/>
      <c r="E18" s="135" t="s">
        <v>24</v>
      </c>
      <c r="F18" s="147">
        <f>F20-(SUM(F7:F16))</f>
        <v>81.875</v>
      </c>
      <c r="G18" s="146"/>
      <c r="H18" s="135" t="s">
        <v>24</v>
      </c>
      <c r="I18" s="147">
        <f>I20-(SUM(I7:I16))</f>
        <v>18.944000000000006</v>
      </c>
      <c r="J18" s="146"/>
      <c r="K18" s="135" t="s">
        <v>24</v>
      </c>
      <c r="L18" s="147">
        <f>L20-(SUM(L7:L16))</f>
        <v>155.08199999999999</v>
      </c>
    </row>
    <row r="19" spans="1:12" x14ac:dyDescent="0.25">
      <c r="A19" s="82"/>
      <c r="B19" s="135"/>
      <c r="C19" s="147"/>
      <c r="D19" s="146"/>
      <c r="E19" s="135"/>
      <c r="F19" s="147"/>
      <c r="G19" s="146"/>
      <c r="H19" s="135"/>
      <c r="I19" s="147"/>
      <c r="J19" s="146"/>
      <c r="K19" s="135"/>
      <c r="L19" s="147"/>
    </row>
    <row r="20" spans="1:12" x14ac:dyDescent="0.25">
      <c r="A20" s="142"/>
      <c r="B20" s="149" t="s">
        <v>25</v>
      </c>
      <c r="C20" s="150">
        <f>94026/(1000)</f>
        <v>94.025999999999996</v>
      </c>
      <c r="D20" s="144"/>
      <c r="E20" s="149" t="s">
        <v>25</v>
      </c>
      <c r="F20" s="151">
        <v>144.77500000000001</v>
      </c>
      <c r="G20" s="144"/>
      <c r="H20" s="149" t="s">
        <v>25</v>
      </c>
      <c r="I20" s="152">
        <v>33.529000000000003</v>
      </c>
      <c r="J20" s="144"/>
      <c r="K20" s="149" t="s">
        <v>25</v>
      </c>
      <c r="L20" s="151">
        <v>297.27199999999999</v>
      </c>
    </row>
    <row r="22" spans="1:12" x14ac:dyDescent="0.25">
      <c r="A22" s="32" t="s">
        <v>129</v>
      </c>
    </row>
    <row r="24" spans="1:12" ht="29.25" customHeight="1" x14ac:dyDescent="0.25">
      <c r="A24" s="278" t="s">
        <v>26</v>
      </c>
      <c r="B24" s="278"/>
      <c r="C24" s="278"/>
      <c r="D24" s="278"/>
      <c r="E24" s="278"/>
      <c r="F24" s="278"/>
      <c r="G24" s="278"/>
      <c r="H24" s="278"/>
      <c r="I24" s="278"/>
      <c r="J24" s="278"/>
      <c r="K24" s="278"/>
      <c r="L24" s="278"/>
    </row>
    <row r="26" spans="1:12" x14ac:dyDescent="0.25">
      <c r="A26" s="259" t="s">
        <v>164</v>
      </c>
      <c r="B26" s="259"/>
      <c r="C26" s="259"/>
      <c r="D26" s="259"/>
      <c r="E26" s="259"/>
      <c r="F26" s="259"/>
      <c r="G26" s="259"/>
      <c r="H26" s="259"/>
      <c r="I26" s="259"/>
      <c r="J26" s="259"/>
      <c r="K26" s="259"/>
      <c r="L26" s="259"/>
    </row>
    <row r="27" spans="1:12" ht="21" customHeight="1" x14ac:dyDescent="0.25">
      <c r="A27" s="259"/>
      <c r="B27" s="259"/>
      <c r="C27" s="259"/>
      <c r="D27" s="259"/>
      <c r="E27" s="259"/>
      <c r="F27" s="259"/>
      <c r="G27" s="259"/>
      <c r="H27" s="259"/>
      <c r="I27" s="259"/>
      <c r="J27" s="259"/>
      <c r="K27" s="259"/>
      <c r="L27" s="259"/>
    </row>
    <row r="28" spans="1:12" x14ac:dyDescent="0.25">
      <c r="F28" s="81"/>
      <c r="K28" s="81"/>
    </row>
    <row r="29" spans="1:12" x14ac:dyDescent="0.25">
      <c r="H29" s="81"/>
    </row>
    <row r="30" spans="1:12" x14ac:dyDescent="0.25">
      <c r="B30" s="81"/>
    </row>
  </sheetData>
  <mergeCells count="6">
    <mergeCell ref="A26:L27"/>
    <mergeCell ref="A24:L24"/>
    <mergeCell ref="A3:C3"/>
    <mergeCell ref="D3:F3"/>
    <mergeCell ref="G3:I3"/>
    <mergeCell ref="J3:L3"/>
  </mergeCells>
  <phoneticPr fontId="68" type="noConversion"/>
  <pageMargins left="0.75" right="0.75" top="1" bottom="1" header="0.5" footer="0.5"/>
  <pageSetup scale="75" orientation="landscape"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L27"/>
  <sheetViews>
    <sheetView zoomScaleNormal="100" zoomScaleSheetLayoutView="100" workbookViewId="0"/>
  </sheetViews>
  <sheetFormatPr defaultColWidth="8.85546875" defaultRowHeight="12.75" x14ac:dyDescent="0.25"/>
  <cols>
    <col min="1" max="1" width="8.85546875" style="31"/>
    <col min="2" max="2" width="14.7109375" style="31" customWidth="1"/>
    <col min="3" max="3" width="11" style="132" customWidth="1"/>
    <col min="4" max="4" width="14.28515625" style="31" customWidth="1"/>
    <col min="5" max="5" width="14.7109375" style="31" customWidth="1"/>
    <col min="6" max="6" width="10.85546875" style="132" customWidth="1"/>
    <col min="7" max="7" width="8.85546875" style="31"/>
    <col min="8" max="8" width="14.7109375" style="31" customWidth="1"/>
    <col min="9" max="9" width="10.85546875" style="132" customWidth="1"/>
    <col min="10" max="10" width="8.85546875" style="31"/>
    <col min="11" max="11" width="14.7109375" style="31" customWidth="1"/>
    <col min="12" max="12" width="10.85546875" style="31" customWidth="1"/>
    <col min="13" max="257" width="8.85546875" style="31"/>
    <col min="258" max="258" width="13.7109375" style="31" customWidth="1"/>
    <col min="259" max="259" width="11" style="31" customWidth="1"/>
    <col min="260" max="260" width="14.28515625" style="31" customWidth="1"/>
    <col min="261" max="261" width="13.7109375" style="31" customWidth="1"/>
    <col min="262" max="262" width="10.85546875" style="31" customWidth="1"/>
    <col min="263" max="263" width="8.85546875" style="31"/>
    <col min="264" max="264" width="13.7109375" style="31" customWidth="1"/>
    <col min="265" max="265" width="10.85546875" style="31" customWidth="1"/>
    <col min="266" max="266" width="8.85546875" style="31"/>
    <col min="267" max="267" width="13.7109375" style="31" customWidth="1"/>
    <col min="268" max="268" width="10.85546875" style="31" customWidth="1"/>
    <col min="269" max="513" width="8.85546875" style="31"/>
    <col min="514" max="514" width="13.7109375" style="31" customWidth="1"/>
    <col min="515" max="515" width="11" style="31" customWidth="1"/>
    <col min="516" max="516" width="14.28515625" style="31" customWidth="1"/>
    <col min="517" max="517" width="13.7109375" style="31" customWidth="1"/>
    <col min="518" max="518" width="10.85546875" style="31" customWidth="1"/>
    <col min="519" max="519" width="8.85546875" style="31"/>
    <col min="520" max="520" width="13.7109375" style="31" customWidth="1"/>
    <col min="521" max="521" width="10.85546875" style="31" customWidth="1"/>
    <col min="522" max="522" width="8.85546875" style="31"/>
    <col min="523" max="523" width="13.7109375" style="31" customWidth="1"/>
    <col min="524" max="524" width="10.85546875" style="31" customWidth="1"/>
    <col min="525" max="769" width="8.85546875" style="31"/>
    <col min="770" max="770" width="13.7109375" style="31" customWidth="1"/>
    <col min="771" max="771" width="11" style="31" customWidth="1"/>
    <col min="772" max="772" width="14.28515625" style="31" customWidth="1"/>
    <col min="773" max="773" width="13.7109375" style="31" customWidth="1"/>
    <col min="774" max="774" width="10.85546875" style="31" customWidth="1"/>
    <col min="775" max="775" width="8.85546875" style="31"/>
    <col min="776" max="776" width="13.7109375" style="31" customWidth="1"/>
    <col min="777" max="777" width="10.85546875" style="31" customWidth="1"/>
    <col min="778" max="778" width="8.85546875" style="31"/>
    <col min="779" max="779" width="13.7109375" style="31" customWidth="1"/>
    <col min="780" max="780" width="10.85546875" style="31" customWidth="1"/>
    <col min="781" max="1025" width="8.85546875" style="31"/>
    <col min="1026" max="1026" width="13.7109375" style="31" customWidth="1"/>
    <col min="1027" max="1027" width="11" style="31" customWidth="1"/>
    <col min="1028" max="1028" width="14.28515625" style="31" customWidth="1"/>
    <col min="1029" max="1029" width="13.7109375" style="31" customWidth="1"/>
    <col min="1030" max="1030" width="10.85546875" style="31" customWidth="1"/>
    <col min="1031" max="1031" width="8.85546875" style="31"/>
    <col min="1032" max="1032" width="13.7109375" style="31" customWidth="1"/>
    <col min="1033" max="1033" width="10.85546875" style="31" customWidth="1"/>
    <col min="1034" max="1034" width="8.85546875" style="31"/>
    <col min="1035" max="1035" width="13.7109375" style="31" customWidth="1"/>
    <col min="1036" max="1036" width="10.85546875" style="31" customWidth="1"/>
    <col min="1037" max="1281" width="8.85546875" style="31"/>
    <col min="1282" max="1282" width="13.7109375" style="31" customWidth="1"/>
    <col min="1283" max="1283" width="11" style="31" customWidth="1"/>
    <col min="1284" max="1284" width="14.28515625" style="31" customWidth="1"/>
    <col min="1285" max="1285" width="13.7109375" style="31" customWidth="1"/>
    <col min="1286" max="1286" width="10.85546875" style="31" customWidth="1"/>
    <col min="1287" max="1287" width="8.85546875" style="31"/>
    <col min="1288" max="1288" width="13.7109375" style="31" customWidth="1"/>
    <col min="1289" max="1289" width="10.85546875" style="31" customWidth="1"/>
    <col min="1290" max="1290" width="8.85546875" style="31"/>
    <col min="1291" max="1291" width="13.7109375" style="31" customWidth="1"/>
    <col min="1292" max="1292" width="10.85546875" style="31" customWidth="1"/>
    <col min="1293" max="1537" width="8.85546875" style="31"/>
    <col min="1538" max="1538" width="13.7109375" style="31" customWidth="1"/>
    <col min="1539" max="1539" width="11" style="31" customWidth="1"/>
    <col min="1540" max="1540" width="14.28515625" style="31" customWidth="1"/>
    <col min="1541" max="1541" width="13.7109375" style="31" customWidth="1"/>
    <col min="1542" max="1542" width="10.85546875" style="31" customWidth="1"/>
    <col min="1543" max="1543" width="8.85546875" style="31"/>
    <col min="1544" max="1544" width="13.7109375" style="31" customWidth="1"/>
    <col min="1545" max="1545" width="10.85546875" style="31" customWidth="1"/>
    <col min="1546" max="1546" width="8.85546875" style="31"/>
    <col min="1547" max="1547" width="13.7109375" style="31" customWidth="1"/>
    <col min="1548" max="1548" width="10.85546875" style="31" customWidth="1"/>
    <col min="1549" max="1793" width="8.85546875" style="31"/>
    <col min="1794" max="1794" width="13.7109375" style="31" customWidth="1"/>
    <col min="1795" max="1795" width="11" style="31" customWidth="1"/>
    <col min="1796" max="1796" width="14.28515625" style="31" customWidth="1"/>
    <col min="1797" max="1797" width="13.7109375" style="31" customWidth="1"/>
    <col min="1798" max="1798" width="10.85546875" style="31" customWidth="1"/>
    <col min="1799" max="1799" width="8.85546875" style="31"/>
    <col min="1800" max="1800" width="13.7109375" style="31" customWidth="1"/>
    <col min="1801" max="1801" width="10.85546875" style="31" customWidth="1"/>
    <col min="1802" max="1802" width="8.85546875" style="31"/>
    <col min="1803" max="1803" width="13.7109375" style="31" customWidth="1"/>
    <col min="1804" max="1804" width="10.85546875" style="31" customWidth="1"/>
    <col min="1805" max="2049" width="8.85546875" style="31"/>
    <col min="2050" max="2050" width="13.7109375" style="31" customWidth="1"/>
    <col min="2051" max="2051" width="11" style="31" customWidth="1"/>
    <col min="2052" max="2052" width="14.28515625" style="31" customWidth="1"/>
    <col min="2053" max="2053" width="13.7109375" style="31" customWidth="1"/>
    <col min="2054" max="2054" width="10.85546875" style="31" customWidth="1"/>
    <col min="2055" max="2055" width="8.85546875" style="31"/>
    <col min="2056" max="2056" width="13.7109375" style="31" customWidth="1"/>
    <col min="2057" max="2057" width="10.85546875" style="31" customWidth="1"/>
    <col min="2058" max="2058" width="8.85546875" style="31"/>
    <col min="2059" max="2059" width="13.7109375" style="31" customWidth="1"/>
    <col min="2060" max="2060" width="10.85546875" style="31" customWidth="1"/>
    <col min="2061" max="2305" width="8.85546875" style="31"/>
    <col min="2306" max="2306" width="13.7109375" style="31" customWidth="1"/>
    <col min="2307" max="2307" width="11" style="31" customWidth="1"/>
    <col min="2308" max="2308" width="14.28515625" style="31" customWidth="1"/>
    <col min="2309" max="2309" width="13.7109375" style="31" customWidth="1"/>
    <col min="2310" max="2310" width="10.85546875" style="31" customWidth="1"/>
    <col min="2311" max="2311" width="8.85546875" style="31"/>
    <col min="2312" max="2312" width="13.7109375" style="31" customWidth="1"/>
    <col min="2313" max="2313" width="10.85546875" style="31" customWidth="1"/>
    <col min="2314" max="2314" width="8.85546875" style="31"/>
    <col min="2315" max="2315" width="13.7109375" style="31" customWidth="1"/>
    <col min="2316" max="2316" width="10.85546875" style="31" customWidth="1"/>
    <col min="2317" max="2561" width="8.85546875" style="31"/>
    <col min="2562" max="2562" width="13.7109375" style="31" customWidth="1"/>
    <col min="2563" max="2563" width="11" style="31" customWidth="1"/>
    <col min="2564" max="2564" width="14.28515625" style="31" customWidth="1"/>
    <col min="2565" max="2565" width="13.7109375" style="31" customWidth="1"/>
    <col min="2566" max="2566" width="10.85546875" style="31" customWidth="1"/>
    <col min="2567" max="2567" width="8.85546875" style="31"/>
    <col min="2568" max="2568" width="13.7109375" style="31" customWidth="1"/>
    <col min="2569" max="2569" width="10.85546875" style="31" customWidth="1"/>
    <col min="2570" max="2570" width="8.85546875" style="31"/>
    <col min="2571" max="2571" width="13.7109375" style="31" customWidth="1"/>
    <col min="2572" max="2572" width="10.85546875" style="31" customWidth="1"/>
    <col min="2573" max="2817" width="8.85546875" style="31"/>
    <col min="2818" max="2818" width="13.7109375" style="31" customWidth="1"/>
    <col min="2819" max="2819" width="11" style="31" customWidth="1"/>
    <col min="2820" max="2820" width="14.28515625" style="31" customWidth="1"/>
    <col min="2821" max="2821" width="13.7109375" style="31" customWidth="1"/>
    <col min="2822" max="2822" width="10.85546875" style="31" customWidth="1"/>
    <col min="2823" max="2823" width="8.85546875" style="31"/>
    <col min="2824" max="2824" width="13.7109375" style="31" customWidth="1"/>
    <col min="2825" max="2825" width="10.85546875" style="31" customWidth="1"/>
    <col min="2826" max="2826" width="8.85546875" style="31"/>
    <col min="2827" max="2827" width="13.7109375" style="31" customWidth="1"/>
    <col min="2828" max="2828" width="10.85546875" style="31" customWidth="1"/>
    <col min="2829" max="3073" width="8.85546875" style="31"/>
    <col min="3074" max="3074" width="13.7109375" style="31" customWidth="1"/>
    <col min="3075" max="3075" width="11" style="31" customWidth="1"/>
    <col min="3076" max="3076" width="14.28515625" style="31" customWidth="1"/>
    <col min="3077" max="3077" width="13.7109375" style="31" customWidth="1"/>
    <col min="3078" max="3078" width="10.85546875" style="31" customWidth="1"/>
    <col min="3079" max="3079" width="8.85546875" style="31"/>
    <col min="3080" max="3080" width="13.7109375" style="31" customWidth="1"/>
    <col min="3081" max="3081" width="10.85546875" style="31" customWidth="1"/>
    <col min="3082" max="3082" width="8.85546875" style="31"/>
    <col min="3083" max="3083" width="13.7109375" style="31" customWidth="1"/>
    <col min="3084" max="3084" width="10.85546875" style="31" customWidth="1"/>
    <col min="3085" max="3329" width="8.85546875" style="31"/>
    <col min="3330" max="3330" width="13.7109375" style="31" customWidth="1"/>
    <col min="3331" max="3331" width="11" style="31" customWidth="1"/>
    <col min="3332" max="3332" width="14.28515625" style="31" customWidth="1"/>
    <col min="3333" max="3333" width="13.7109375" style="31" customWidth="1"/>
    <col min="3334" max="3334" width="10.85546875" style="31" customWidth="1"/>
    <col min="3335" max="3335" width="8.85546875" style="31"/>
    <col min="3336" max="3336" width="13.7109375" style="31" customWidth="1"/>
    <col min="3337" max="3337" width="10.85546875" style="31" customWidth="1"/>
    <col min="3338" max="3338" width="8.85546875" style="31"/>
    <col min="3339" max="3339" width="13.7109375" style="31" customWidth="1"/>
    <col min="3340" max="3340" width="10.85546875" style="31" customWidth="1"/>
    <col min="3341" max="3585" width="8.85546875" style="31"/>
    <col min="3586" max="3586" width="13.7109375" style="31" customWidth="1"/>
    <col min="3587" max="3587" width="11" style="31" customWidth="1"/>
    <col min="3588" max="3588" width="14.28515625" style="31" customWidth="1"/>
    <col min="3589" max="3589" width="13.7109375" style="31" customWidth="1"/>
    <col min="3590" max="3590" width="10.85546875" style="31" customWidth="1"/>
    <col min="3591" max="3591" width="8.85546875" style="31"/>
    <col min="3592" max="3592" width="13.7109375" style="31" customWidth="1"/>
    <col min="3593" max="3593" width="10.85546875" style="31" customWidth="1"/>
    <col min="3594" max="3594" width="8.85546875" style="31"/>
    <col min="3595" max="3595" width="13.7109375" style="31" customWidth="1"/>
    <col min="3596" max="3596" width="10.85546875" style="31" customWidth="1"/>
    <col min="3597" max="3841" width="8.85546875" style="31"/>
    <col min="3842" max="3842" width="13.7109375" style="31" customWidth="1"/>
    <col min="3843" max="3843" width="11" style="31" customWidth="1"/>
    <col min="3844" max="3844" width="14.28515625" style="31" customWidth="1"/>
    <col min="3845" max="3845" width="13.7109375" style="31" customWidth="1"/>
    <col min="3846" max="3846" width="10.85546875" style="31" customWidth="1"/>
    <col min="3847" max="3847" width="8.85546875" style="31"/>
    <col min="3848" max="3848" width="13.7109375" style="31" customWidth="1"/>
    <col min="3849" max="3849" width="10.85546875" style="31" customWidth="1"/>
    <col min="3850" max="3850" width="8.85546875" style="31"/>
    <col min="3851" max="3851" width="13.7109375" style="31" customWidth="1"/>
    <col min="3852" max="3852" width="10.85546875" style="31" customWidth="1"/>
    <col min="3853" max="4097" width="8.85546875" style="31"/>
    <col min="4098" max="4098" width="13.7109375" style="31" customWidth="1"/>
    <col min="4099" max="4099" width="11" style="31" customWidth="1"/>
    <col min="4100" max="4100" width="14.28515625" style="31" customWidth="1"/>
    <col min="4101" max="4101" width="13.7109375" style="31" customWidth="1"/>
    <col min="4102" max="4102" width="10.85546875" style="31" customWidth="1"/>
    <col min="4103" max="4103" width="8.85546875" style="31"/>
    <col min="4104" max="4104" width="13.7109375" style="31" customWidth="1"/>
    <col min="4105" max="4105" width="10.85546875" style="31" customWidth="1"/>
    <col min="4106" max="4106" width="8.85546875" style="31"/>
    <col min="4107" max="4107" width="13.7109375" style="31" customWidth="1"/>
    <col min="4108" max="4108" width="10.85546875" style="31" customWidth="1"/>
    <col min="4109" max="4353" width="8.85546875" style="31"/>
    <col min="4354" max="4354" width="13.7109375" style="31" customWidth="1"/>
    <col min="4355" max="4355" width="11" style="31" customWidth="1"/>
    <col min="4356" max="4356" width="14.28515625" style="31" customWidth="1"/>
    <col min="4357" max="4357" width="13.7109375" style="31" customWidth="1"/>
    <col min="4358" max="4358" width="10.85546875" style="31" customWidth="1"/>
    <col min="4359" max="4359" width="8.85546875" style="31"/>
    <col min="4360" max="4360" width="13.7109375" style="31" customWidth="1"/>
    <col min="4361" max="4361" width="10.85546875" style="31" customWidth="1"/>
    <col min="4362" max="4362" width="8.85546875" style="31"/>
    <col min="4363" max="4363" width="13.7109375" style="31" customWidth="1"/>
    <col min="4364" max="4364" width="10.85546875" style="31" customWidth="1"/>
    <col min="4365" max="4609" width="8.85546875" style="31"/>
    <col min="4610" max="4610" width="13.7109375" style="31" customWidth="1"/>
    <col min="4611" max="4611" width="11" style="31" customWidth="1"/>
    <col min="4612" max="4612" width="14.28515625" style="31" customWidth="1"/>
    <col min="4613" max="4613" width="13.7109375" style="31" customWidth="1"/>
    <col min="4614" max="4614" width="10.85546875" style="31" customWidth="1"/>
    <col min="4615" max="4615" width="8.85546875" style="31"/>
    <col min="4616" max="4616" width="13.7109375" style="31" customWidth="1"/>
    <col min="4617" max="4617" width="10.85546875" style="31" customWidth="1"/>
    <col min="4618" max="4618" width="8.85546875" style="31"/>
    <col min="4619" max="4619" width="13.7109375" style="31" customWidth="1"/>
    <col min="4620" max="4620" width="10.85546875" style="31" customWidth="1"/>
    <col min="4621" max="4865" width="8.85546875" style="31"/>
    <col min="4866" max="4866" width="13.7109375" style="31" customWidth="1"/>
    <col min="4867" max="4867" width="11" style="31" customWidth="1"/>
    <col min="4868" max="4868" width="14.28515625" style="31" customWidth="1"/>
    <col min="4869" max="4869" width="13.7109375" style="31" customWidth="1"/>
    <col min="4870" max="4870" width="10.85546875" style="31" customWidth="1"/>
    <col min="4871" max="4871" width="8.85546875" style="31"/>
    <col min="4872" max="4872" width="13.7109375" style="31" customWidth="1"/>
    <col min="4873" max="4873" width="10.85546875" style="31" customWidth="1"/>
    <col min="4874" max="4874" width="8.85546875" style="31"/>
    <col min="4875" max="4875" width="13.7109375" style="31" customWidth="1"/>
    <col min="4876" max="4876" width="10.85546875" style="31" customWidth="1"/>
    <col min="4877" max="5121" width="8.85546875" style="31"/>
    <col min="5122" max="5122" width="13.7109375" style="31" customWidth="1"/>
    <col min="5123" max="5123" width="11" style="31" customWidth="1"/>
    <col min="5124" max="5124" width="14.28515625" style="31" customWidth="1"/>
    <col min="5125" max="5125" width="13.7109375" style="31" customWidth="1"/>
    <col min="5126" max="5126" width="10.85546875" style="31" customWidth="1"/>
    <col min="5127" max="5127" width="8.85546875" style="31"/>
    <col min="5128" max="5128" width="13.7109375" style="31" customWidth="1"/>
    <col min="5129" max="5129" width="10.85546875" style="31" customWidth="1"/>
    <col min="5130" max="5130" width="8.85546875" style="31"/>
    <col min="5131" max="5131" width="13.7109375" style="31" customWidth="1"/>
    <col min="5132" max="5132" width="10.85546875" style="31" customWidth="1"/>
    <col min="5133" max="5377" width="8.85546875" style="31"/>
    <col min="5378" max="5378" width="13.7109375" style="31" customWidth="1"/>
    <col min="5379" max="5379" width="11" style="31" customWidth="1"/>
    <col min="5380" max="5380" width="14.28515625" style="31" customWidth="1"/>
    <col min="5381" max="5381" width="13.7109375" style="31" customWidth="1"/>
    <col min="5382" max="5382" width="10.85546875" style="31" customWidth="1"/>
    <col min="5383" max="5383" width="8.85546875" style="31"/>
    <col min="5384" max="5384" width="13.7109375" style="31" customWidth="1"/>
    <col min="5385" max="5385" width="10.85546875" style="31" customWidth="1"/>
    <col min="5386" max="5386" width="8.85546875" style="31"/>
    <col min="5387" max="5387" width="13.7109375" style="31" customWidth="1"/>
    <col min="5388" max="5388" width="10.85546875" style="31" customWidth="1"/>
    <col min="5389" max="5633" width="8.85546875" style="31"/>
    <col min="5634" max="5634" width="13.7109375" style="31" customWidth="1"/>
    <col min="5635" max="5635" width="11" style="31" customWidth="1"/>
    <col min="5636" max="5636" width="14.28515625" style="31" customWidth="1"/>
    <col min="5637" max="5637" width="13.7109375" style="31" customWidth="1"/>
    <col min="5638" max="5638" width="10.85546875" style="31" customWidth="1"/>
    <col min="5639" max="5639" width="8.85546875" style="31"/>
    <col min="5640" max="5640" width="13.7109375" style="31" customWidth="1"/>
    <col min="5641" max="5641" width="10.85546875" style="31" customWidth="1"/>
    <col min="5642" max="5642" width="8.85546875" style="31"/>
    <col min="5643" max="5643" width="13.7109375" style="31" customWidth="1"/>
    <col min="5644" max="5644" width="10.85546875" style="31" customWidth="1"/>
    <col min="5645" max="5889" width="8.85546875" style="31"/>
    <col min="5890" max="5890" width="13.7109375" style="31" customWidth="1"/>
    <col min="5891" max="5891" width="11" style="31" customWidth="1"/>
    <col min="5892" max="5892" width="14.28515625" style="31" customWidth="1"/>
    <col min="5893" max="5893" width="13.7109375" style="31" customWidth="1"/>
    <col min="5894" max="5894" width="10.85546875" style="31" customWidth="1"/>
    <col min="5895" max="5895" width="8.85546875" style="31"/>
    <col min="5896" max="5896" width="13.7109375" style="31" customWidth="1"/>
    <col min="5897" max="5897" width="10.85546875" style="31" customWidth="1"/>
    <col min="5898" max="5898" width="8.85546875" style="31"/>
    <col min="5899" max="5899" width="13.7109375" style="31" customWidth="1"/>
    <col min="5900" max="5900" width="10.85546875" style="31" customWidth="1"/>
    <col min="5901" max="6145" width="8.85546875" style="31"/>
    <col min="6146" max="6146" width="13.7109375" style="31" customWidth="1"/>
    <col min="6147" max="6147" width="11" style="31" customWidth="1"/>
    <col min="6148" max="6148" width="14.28515625" style="31" customWidth="1"/>
    <col min="6149" max="6149" width="13.7109375" style="31" customWidth="1"/>
    <col min="6150" max="6150" width="10.85546875" style="31" customWidth="1"/>
    <col min="6151" max="6151" width="8.85546875" style="31"/>
    <col min="6152" max="6152" width="13.7109375" style="31" customWidth="1"/>
    <col min="6153" max="6153" width="10.85546875" style="31" customWidth="1"/>
    <col min="6154" max="6154" width="8.85546875" style="31"/>
    <col min="6155" max="6155" width="13.7109375" style="31" customWidth="1"/>
    <col min="6156" max="6156" width="10.85546875" style="31" customWidth="1"/>
    <col min="6157" max="6401" width="8.85546875" style="31"/>
    <col min="6402" max="6402" width="13.7109375" style="31" customWidth="1"/>
    <col min="6403" max="6403" width="11" style="31" customWidth="1"/>
    <col min="6404" max="6404" width="14.28515625" style="31" customWidth="1"/>
    <col min="6405" max="6405" width="13.7109375" style="31" customWidth="1"/>
    <col min="6406" max="6406" width="10.85546875" style="31" customWidth="1"/>
    <col min="6407" max="6407" width="8.85546875" style="31"/>
    <col min="6408" max="6408" width="13.7109375" style="31" customWidth="1"/>
    <col min="6409" max="6409" width="10.85546875" style="31" customWidth="1"/>
    <col min="6410" max="6410" width="8.85546875" style="31"/>
    <col min="6411" max="6411" width="13.7109375" style="31" customWidth="1"/>
    <col min="6412" max="6412" width="10.85546875" style="31" customWidth="1"/>
    <col min="6413" max="6657" width="8.85546875" style="31"/>
    <col min="6658" max="6658" width="13.7109375" style="31" customWidth="1"/>
    <col min="6659" max="6659" width="11" style="31" customWidth="1"/>
    <col min="6660" max="6660" width="14.28515625" style="31" customWidth="1"/>
    <col min="6661" max="6661" width="13.7109375" style="31" customWidth="1"/>
    <col min="6662" max="6662" width="10.85546875" style="31" customWidth="1"/>
    <col min="6663" max="6663" width="8.85546875" style="31"/>
    <col min="6664" max="6664" width="13.7109375" style="31" customWidth="1"/>
    <col min="6665" max="6665" width="10.85546875" style="31" customWidth="1"/>
    <col min="6666" max="6666" width="8.85546875" style="31"/>
    <col min="6667" max="6667" width="13.7109375" style="31" customWidth="1"/>
    <col min="6668" max="6668" width="10.85546875" style="31" customWidth="1"/>
    <col min="6669" max="6913" width="8.85546875" style="31"/>
    <col min="6914" max="6914" width="13.7109375" style="31" customWidth="1"/>
    <col min="6915" max="6915" width="11" style="31" customWidth="1"/>
    <col min="6916" max="6916" width="14.28515625" style="31" customWidth="1"/>
    <col min="6917" max="6917" width="13.7109375" style="31" customWidth="1"/>
    <col min="6918" max="6918" width="10.85546875" style="31" customWidth="1"/>
    <col min="6919" max="6919" width="8.85546875" style="31"/>
    <col min="6920" max="6920" width="13.7109375" style="31" customWidth="1"/>
    <col min="6921" max="6921" width="10.85546875" style="31" customWidth="1"/>
    <col min="6922" max="6922" width="8.85546875" style="31"/>
    <col min="6923" max="6923" width="13.7109375" style="31" customWidth="1"/>
    <col min="6924" max="6924" width="10.85546875" style="31" customWidth="1"/>
    <col min="6925" max="7169" width="8.85546875" style="31"/>
    <col min="7170" max="7170" width="13.7109375" style="31" customWidth="1"/>
    <col min="7171" max="7171" width="11" style="31" customWidth="1"/>
    <col min="7172" max="7172" width="14.28515625" style="31" customWidth="1"/>
    <col min="7173" max="7173" width="13.7109375" style="31" customWidth="1"/>
    <col min="7174" max="7174" width="10.85546875" style="31" customWidth="1"/>
    <col min="7175" max="7175" width="8.85546875" style="31"/>
    <col min="7176" max="7176" width="13.7109375" style="31" customWidth="1"/>
    <col min="7177" max="7177" width="10.85546875" style="31" customWidth="1"/>
    <col min="7178" max="7178" width="8.85546875" style="31"/>
    <col min="7179" max="7179" width="13.7109375" style="31" customWidth="1"/>
    <col min="7180" max="7180" width="10.85546875" style="31" customWidth="1"/>
    <col min="7181" max="7425" width="8.85546875" style="31"/>
    <col min="7426" max="7426" width="13.7109375" style="31" customWidth="1"/>
    <col min="7427" max="7427" width="11" style="31" customWidth="1"/>
    <col min="7428" max="7428" width="14.28515625" style="31" customWidth="1"/>
    <col min="7429" max="7429" width="13.7109375" style="31" customWidth="1"/>
    <col min="7430" max="7430" width="10.85546875" style="31" customWidth="1"/>
    <col min="7431" max="7431" width="8.85546875" style="31"/>
    <col min="7432" max="7432" width="13.7109375" style="31" customWidth="1"/>
    <col min="7433" max="7433" width="10.85546875" style="31" customWidth="1"/>
    <col min="7434" max="7434" width="8.85546875" style="31"/>
    <col min="7435" max="7435" width="13.7109375" style="31" customWidth="1"/>
    <col min="7436" max="7436" width="10.85546875" style="31" customWidth="1"/>
    <col min="7437" max="7681" width="8.85546875" style="31"/>
    <col min="7682" max="7682" width="13.7109375" style="31" customWidth="1"/>
    <col min="7683" max="7683" width="11" style="31" customWidth="1"/>
    <col min="7684" max="7684" width="14.28515625" style="31" customWidth="1"/>
    <col min="7685" max="7685" width="13.7109375" style="31" customWidth="1"/>
    <col min="7686" max="7686" width="10.85546875" style="31" customWidth="1"/>
    <col min="7687" max="7687" width="8.85546875" style="31"/>
    <col min="7688" max="7688" width="13.7109375" style="31" customWidth="1"/>
    <col min="7689" max="7689" width="10.85546875" style="31" customWidth="1"/>
    <col min="7690" max="7690" width="8.85546875" style="31"/>
    <col min="7691" max="7691" width="13.7109375" style="31" customWidth="1"/>
    <col min="7692" max="7692" width="10.85546875" style="31" customWidth="1"/>
    <col min="7693" max="7937" width="8.85546875" style="31"/>
    <col min="7938" max="7938" width="13.7109375" style="31" customWidth="1"/>
    <col min="7939" max="7939" width="11" style="31" customWidth="1"/>
    <col min="7940" max="7940" width="14.28515625" style="31" customWidth="1"/>
    <col min="7941" max="7941" width="13.7109375" style="31" customWidth="1"/>
    <col min="7942" max="7942" width="10.85546875" style="31" customWidth="1"/>
    <col min="7943" max="7943" width="8.85546875" style="31"/>
    <col min="7944" max="7944" width="13.7109375" style="31" customWidth="1"/>
    <col min="7945" max="7945" width="10.85546875" style="31" customWidth="1"/>
    <col min="7946" max="7946" width="8.85546875" style="31"/>
    <col min="7947" max="7947" width="13.7109375" style="31" customWidth="1"/>
    <col min="7948" max="7948" width="10.85546875" style="31" customWidth="1"/>
    <col min="7949" max="8193" width="8.85546875" style="31"/>
    <col min="8194" max="8194" width="13.7109375" style="31" customWidth="1"/>
    <col min="8195" max="8195" width="11" style="31" customWidth="1"/>
    <col min="8196" max="8196" width="14.28515625" style="31" customWidth="1"/>
    <col min="8197" max="8197" width="13.7109375" style="31" customWidth="1"/>
    <col min="8198" max="8198" width="10.85546875" style="31" customWidth="1"/>
    <col min="8199" max="8199" width="8.85546875" style="31"/>
    <col min="8200" max="8200" width="13.7109375" style="31" customWidth="1"/>
    <col min="8201" max="8201" width="10.85546875" style="31" customWidth="1"/>
    <col min="8202" max="8202" width="8.85546875" style="31"/>
    <col min="8203" max="8203" width="13.7109375" style="31" customWidth="1"/>
    <col min="8204" max="8204" width="10.85546875" style="31" customWidth="1"/>
    <col min="8205" max="8449" width="8.85546875" style="31"/>
    <col min="8450" max="8450" width="13.7109375" style="31" customWidth="1"/>
    <col min="8451" max="8451" width="11" style="31" customWidth="1"/>
    <col min="8452" max="8452" width="14.28515625" style="31" customWidth="1"/>
    <col min="8453" max="8453" width="13.7109375" style="31" customWidth="1"/>
    <col min="8454" max="8454" width="10.85546875" style="31" customWidth="1"/>
    <col min="8455" max="8455" width="8.85546875" style="31"/>
    <col min="8456" max="8456" width="13.7109375" style="31" customWidth="1"/>
    <col min="8457" max="8457" width="10.85546875" style="31" customWidth="1"/>
    <col min="8458" max="8458" width="8.85546875" style="31"/>
    <col min="8459" max="8459" width="13.7109375" style="31" customWidth="1"/>
    <col min="8460" max="8460" width="10.85546875" style="31" customWidth="1"/>
    <col min="8461" max="8705" width="8.85546875" style="31"/>
    <col min="8706" max="8706" width="13.7109375" style="31" customWidth="1"/>
    <col min="8707" max="8707" width="11" style="31" customWidth="1"/>
    <col min="8708" max="8708" width="14.28515625" style="31" customWidth="1"/>
    <col min="8709" max="8709" width="13.7109375" style="31" customWidth="1"/>
    <col min="8710" max="8710" width="10.85546875" style="31" customWidth="1"/>
    <col min="8711" max="8711" width="8.85546875" style="31"/>
    <col min="8712" max="8712" width="13.7109375" style="31" customWidth="1"/>
    <col min="8713" max="8713" width="10.85546875" style="31" customWidth="1"/>
    <col min="8714" max="8714" width="8.85546875" style="31"/>
    <col min="8715" max="8715" width="13.7109375" style="31" customWidth="1"/>
    <col min="8716" max="8716" width="10.85546875" style="31" customWidth="1"/>
    <col min="8717" max="8961" width="8.85546875" style="31"/>
    <col min="8962" max="8962" width="13.7109375" style="31" customWidth="1"/>
    <col min="8963" max="8963" width="11" style="31" customWidth="1"/>
    <col min="8964" max="8964" width="14.28515625" style="31" customWidth="1"/>
    <col min="8965" max="8965" width="13.7109375" style="31" customWidth="1"/>
    <col min="8966" max="8966" width="10.85546875" style="31" customWidth="1"/>
    <col min="8967" max="8967" width="8.85546875" style="31"/>
    <col min="8968" max="8968" width="13.7109375" style="31" customWidth="1"/>
    <col min="8969" max="8969" width="10.85546875" style="31" customWidth="1"/>
    <col min="8970" max="8970" width="8.85546875" style="31"/>
    <col min="8971" max="8971" width="13.7109375" style="31" customWidth="1"/>
    <col min="8972" max="8972" width="10.85546875" style="31" customWidth="1"/>
    <col min="8973" max="9217" width="8.85546875" style="31"/>
    <col min="9218" max="9218" width="13.7109375" style="31" customWidth="1"/>
    <col min="9219" max="9219" width="11" style="31" customWidth="1"/>
    <col min="9220" max="9220" width="14.28515625" style="31" customWidth="1"/>
    <col min="9221" max="9221" width="13.7109375" style="31" customWidth="1"/>
    <col min="9222" max="9222" width="10.85546875" style="31" customWidth="1"/>
    <col min="9223" max="9223" width="8.85546875" style="31"/>
    <col min="9224" max="9224" width="13.7109375" style="31" customWidth="1"/>
    <col min="9225" max="9225" width="10.85546875" style="31" customWidth="1"/>
    <col min="9226" max="9226" width="8.85546875" style="31"/>
    <col min="9227" max="9227" width="13.7109375" style="31" customWidth="1"/>
    <col min="9228" max="9228" width="10.85546875" style="31" customWidth="1"/>
    <col min="9229" max="9473" width="8.85546875" style="31"/>
    <col min="9474" max="9474" width="13.7109375" style="31" customWidth="1"/>
    <col min="9475" max="9475" width="11" style="31" customWidth="1"/>
    <col min="9476" max="9476" width="14.28515625" style="31" customWidth="1"/>
    <col min="9477" max="9477" width="13.7109375" style="31" customWidth="1"/>
    <col min="9478" max="9478" width="10.85546875" style="31" customWidth="1"/>
    <col min="9479" max="9479" width="8.85546875" style="31"/>
    <col min="9480" max="9480" width="13.7109375" style="31" customWidth="1"/>
    <col min="9481" max="9481" width="10.85546875" style="31" customWidth="1"/>
    <col min="9482" max="9482" width="8.85546875" style="31"/>
    <col min="9483" max="9483" width="13.7109375" style="31" customWidth="1"/>
    <col min="9484" max="9484" width="10.85546875" style="31" customWidth="1"/>
    <col min="9485" max="9729" width="8.85546875" style="31"/>
    <col min="9730" max="9730" width="13.7109375" style="31" customWidth="1"/>
    <col min="9731" max="9731" width="11" style="31" customWidth="1"/>
    <col min="9732" max="9732" width="14.28515625" style="31" customWidth="1"/>
    <col min="9733" max="9733" width="13.7109375" style="31" customWidth="1"/>
    <col min="9734" max="9734" width="10.85546875" style="31" customWidth="1"/>
    <col min="9735" max="9735" width="8.85546875" style="31"/>
    <col min="9736" max="9736" width="13.7109375" style="31" customWidth="1"/>
    <col min="9737" max="9737" width="10.85546875" style="31" customWidth="1"/>
    <col min="9738" max="9738" width="8.85546875" style="31"/>
    <col min="9739" max="9739" width="13.7109375" style="31" customWidth="1"/>
    <col min="9740" max="9740" width="10.85546875" style="31" customWidth="1"/>
    <col min="9741" max="9985" width="8.85546875" style="31"/>
    <col min="9986" max="9986" width="13.7109375" style="31" customWidth="1"/>
    <col min="9987" max="9987" width="11" style="31" customWidth="1"/>
    <col min="9988" max="9988" width="14.28515625" style="31" customWidth="1"/>
    <col min="9989" max="9989" width="13.7109375" style="31" customWidth="1"/>
    <col min="9990" max="9990" width="10.85546875" style="31" customWidth="1"/>
    <col min="9991" max="9991" width="8.85546875" style="31"/>
    <col min="9992" max="9992" width="13.7109375" style="31" customWidth="1"/>
    <col min="9993" max="9993" width="10.85546875" style="31" customWidth="1"/>
    <col min="9994" max="9994" width="8.85546875" style="31"/>
    <col min="9995" max="9995" width="13.7109375" style="31" customWidth="1"/>
    <col min="9996" max="9996" width="10.85546875" style="31" customWidth="1"/>
    <col min="9997" max="10241" width="8.85546875" style="31"/>
    <col min="10242" max="10242" width="13.7109375" style="31" customWidth="1"/>
    <col min="10243" max="10243" width="11" style="31" customWidth="1"/>
    <col min="10244" max="10244" width="14.28515625" style="31" customWidth="1"/>
    <col min="10245" max="10245" width="13.7109375" style="31" customWidth="1"/>
    <col min="10246" max="10246" width="10.85546875" style="31" customWidth="1"/>
    <col min="10247" max="10247" width="8.85546875" style="31"/>
    <col min="10248" max="10248" width="13.7109375" style="31" customWidth="1"/>
    <col min="10249" max="10249" width="10.85546875" style="31" customWidth="1"/>
    <col min="10250" max="10250" width="8.85546875" style="31"/>
    <col min="10251" max="10251" width="13.7109375" style="31" customWidth="1"/>
    <col min="10252" max="10252" width="10.85546875" style="31" customWidth="1"/>
    <col min="10253" max="10497" width="8.85546875" style="31"/>
    <col min="10498" max="10498" width="13.7109375" style="31" customWidth="1"/>
    <col min="10499" max="10499" width="11" style="31" customWidth="1"/>
    <col min="10500" max="10500" width="14.28515625" style="31" customWidth="1"/>
    <col min="10501" max="10501" width="13.7109375" style="31" customWidth="1"/>
    <col min="10502" max="10502" width="10.85546875" style="31" customWidth="1"/>
    <col min="10503" max="10503" width="8.85546875" style="31"/>
    <col min="10504" max="10504" width="13.7109375" style="31" customWidth="1"/>
    <col min="10505" max="10505" width="10.85546875" style="31" customWidth="1"/>
    <col min="10506" max="10506" width="8.85546875" style="31"/>
    <col min="10507" max="10507" width="13.7109375" style="31" customWidth="1"/>
    <col min="10508" max="10508" width="10.85546875" style="31" customWidth="1"/>
    <col min="10509" max="10753" width="8.85546875" style="31"/>
    <col min="10754" max="10754" width="13.7109375" style="31" customWidth="1"/>
    <col min="10755" max="10755" width="11" style="31" customWidth="1"/>
    <col min="10756" max="10756" width="14.28515625" style="31" customWidth="1"/>
    <col min="10757" max="10757" width="13.7109375" style="31" customWidth="1"/>
    <col min="10758" max="10758" width="10.85546875" style="31" customWidth="1"/>
    <col min="10759" max="10759" width="8.85546875" style="31"/>
    <col min="10760" max="10760" width="13.7109375" style="31" customWidth="1"/>
    <col min="10761" max="10761" width="10.85546875" style="31" customWidth="1"/>
    <col min="10762" max="10762" width="8.85546875" style="31"/>
    <col min="10763" max="10763" width="13.7109375" style="31" customWidth="1"/>
    <col min="10764" max="10764" width="10.85546875" style="31" customWidth="1"/>
    <col min="10765" max="11009" width="8.85546875" style="31"/>
    <col min="11010" max="11010" width="13.7109375" style="31" customWidth="1"/>
    <col min="11011" max="11011" width="11" style="31" customWidth="1"/>
    <col min="11012" max="11012" width="14.28515625" style="31" customWidth="1"/>
    <col min="11013" max="11013" width="13.7109375" style="31" customWidth="1"/>
    <col min="11014" max="11014" width="10.85546875" style="31" customWidth="1"/>
    <col min="11015" max="11015" width="8.85546875" style="31"/>
    <col min="11016" max="11016" width="13.7109375" style="31" customWidth="1"/>
    <col min="11017" max="11017" width="10.85546875" style="31" customWidth="1"/>
    <col min="11018" max="11018" width="8.85546875" style="31"/>
    <col min="11019" max="11019" width="13.7109375" style="31" customWidth="1"/>
    <col min="11020" max="11020" width="10.85546875" style="31" customWidth="1"/>
    <col min="11021" max="11265" width="8.85546875" style="31"/>
    <col min="11266" max="11266" width="13.7109375" style="31" customWidth="1"/>
    <col min="11267" max="11267" width="11" style="31" customWidth="1"/>
    <col min="11268" max="11268" width="14.28515625" style="31" customWidth="1"/>
    <col min="11269" max="11269" width="13.7109375" style="31" customWidth="1"/>
    <col min="11270" max="11270" width="10.85546875" style="31" customWidth="1"/>
    <col min="11271" max="11271" width="8.85546875" style="31"/>
    <col min="11272" max="11272" width="13.7109375" style="31" customWidth="1"/>
    <col min="11273" max="11273" width="10.85546875" style="31" customWidth="1"/>
    <col min="11274" max="11274" width="8.85546875" style="31"/>
    <col min="11275" max="11275" width="13.7109375" style="31" customWidth="1"/>
    <col min="11276" max="11276" width="10.85546875" style="31" customWidth="1"/>
    <col min="11277" max="11521" width="8.85546875" style="31"/>
    <col min="11522" max="11522" width="13.7109375" style="31" customWidth="1"/>
    <col min="11523" max="11523" width="11" style="31" customWidth="1"/>
    <col min="11524" max="11524" width="14.28515625" style="31" customWidth="1"/>
    <col min="11525" max="11525" width="13.7109375" style="31" customWidth="1"/>
    <col min="11526" max="11526" width="10.85546875" style="31" customWidth="1"/>
    <col min="11527" max="11527" width="8.85546875" style="31"/>
    <col min="11528" max="11528" width="13.7109375" style="31" customWidth="1"/>
    <col min="11529" max="11529" width="10.85546875" style="31" customWidth="1"/>
    <col min="11530" max="11530" width="8.85546875" style="31"/>
    <col min="11531" max="11531" width="13.7109375" style="31" customWidth="1"/>
    <col min="11532" max="11532" width="10.85546875" style="31" customWidth="1"/>
    <col min="11533" max="11777" width="8.85546875" style="31"/>
    <col min="11778" max="11778" width="13.7109375" style="31" customWidth="1"/>
    <col min="11779" max="11779" width="11" style="31" customWidth="1"/>
    <col min="11780" max="11780" width="14.28515625" style="31" customWidth="1"/>
    <col min="11781" max="11781" width="13.7109375" style="31" customWidth="1"/>
    <col min="11782" max="11782" width="10.85546875" style="31" customWidth="1"/>
    <col min="11783" max="11783" width="8.85546875" style="31"/>
    <col min="11784" max="11784" width="13.7109375" style="31" customWidth="1"/>
    <col min="11785" max="11785" width="10.85546875" style="31" customWidth="1"/>
    <col min="11786" max="11786" width="8.85546875" style="31"/>
    <col min="11787" max="11787" width="13.7109375" style="31" customWidth="1"/>
    <col min="11788" max="11788" width="10.85546875" style="31" customWidth="1"/>
    <col min="11789" max="12033" width="8.85546875" style="31"/>
    <col min="12034" max="12034" width="13.7109375" style="31" customWidth="1"/>
    <col min="12035" max="12035" width="11" style="31" customWidth="1"/>
    <col min="12036" max="12036" width="14.28515625" style="31" customWidth="1"/>
    <col min="12037" max="12037" width="13.7109375" style="31" customWidth="1"/>
    <col min="12038" max="12038" width="10.85546875" style="31" customWidth="1"/>
    <col min="12039" max="12039" width="8.85546875" style="31"/>
    <col min="12040" max="12040" width="13.7109375" style="31" customWidth="1"/>
    <col min="12041" max="12041" width="10.85546875" style="31" customWidth="1"/>
    <col min="12042" max="12042" width="8.85546875" style="31"/>
    <col min="12043" max="12043" width="13.7109375" style="31" customWidth="1"/>
    <col min="12044" max="12044" width="10.85546875" style="31" customWidth="1"/>
    <col min="12045" max="12289" width="8.85546875" style="31"/>
    <col min="12290" max="12290" width="13.7109375" style="31" customWidth="1"/>
    <col min="12291" max="12291" width="11" style="31" customWidth="1"/>
    <col min="12292" max="12292" width="14.28515625" style="31" customWidth="1"/>
    <col min="12293" max="12293" width="13.7109375" style="31" customWidth="1"/>
    <col min="12294" max="12294" width="10.85546875" style="31" customWidth="1"/>
    <col min="12295" max="12295" width="8.85546875" style="31"/>
    <col min="12296" max="12296" width="13.7109375" style="31" customWidth="1"/>
    <col min="12297" max="12297" width="10.85546875" style="31" customWidth="1"/>
    <col min="12298" max="12298" width="8.85546875" style="31"/>
    <col min="12299" max="12299" width="13.7109375" style="31" customWidth="1"/>
    <col min="12300" max="12300" width="10.85546875" style="31" customWidth="1"/>
    <col min="12301" max="12545" width="8.85546875" style="31"/>
    <col min="12546" max="12546" width="13.7109375" style="31" customWidth="1"/>
    <col min="12547" max="12547" width="11" style="31" customWidth="1"/>
    <col min="12548" max="12548" width="14.28515625" style="31" customWidth="1"/>
    <col min="12549" max="12549" width="13.7109375" style="31" customWidth="1"/>
    <col min="12550" max="12550" width="10.85546875" style="31" customWidth="1"/>
    <col min="12551" max="12551" width="8.85546875" style="31"/>
    <col min="12552" max="12552" width="13.7109375" style="31" customWidth="1"/>
    <col min="12553" max="12553" width="10.85546875" style="31" customWidth="1"/>
    <col min="12554" max="12554" width="8.85546875" style="31"/>
    <col min="12555" max="12555" width="13.7109375" style="31" customWidth="1"/>
    <col min="12556" max="12556" width="10.85546875" style="31" customWidth="1"/>
    <col min="12557" max="12801" width="8.85546875" style="31"/>
    <col min="12802" max="12802" width="13.7109375" style="31" customWidth="1"/>
    <col min="12803" max="12803" width="11" style="31" customWidth="1"/>
    <col min="12804" max="12804" width="14.28515625" style="31" customWidth="1"/>
    <col min="12805" max="12805" width="13.7109375" style="31" customWidth="1"/>
    <col min="12806" max="12806" width="10.85546875" style="31" customWidth="1"/>
    <col min="12807" max="12807" width="8.85546875" style="31"/>
    <col min="12808" max="12808" width="13.7109375" style="31" customWidth="1"/>
    <col min="12809" max="12809" width="10.85546875" style="31" customWidth="1"/>
    <col min="12810" max="12810" width="8.85546875" style="31"/>
    <col min="12811" max="12811" width="13.7109375" style="31" customWidth="1"/>
    <col min="12812" max="12812" width="10.85546875" style="31" customWidth="1"/>
    <col min="12813" max="13057" width="8.85546875" style="31"/>
    <col min="13058" max="13058" width="13.7109375" style="31" customWidth="1"/>
    <col min="13059" max="13059" width="11" style="31" customWidth="1"/>
    <col min="13060" max="13060" width="14.28515625" style="31" customWidth="1"/>
    <col min="13061" max="13061" width="13.7109375" style="31" customWidth="1"/>
    <col min="13062" max="13062" width="10.85546875" style="31" customWidth="1"/>
    <col min="13063" max="13063" width="8.85546875" style="31"/>
    <col min="13064" max="13064" width="13.7109375" style="31" customWidth="1"/>
    <col min="13065" max="13065" width="10.85546875" style="31" customWidth="1"/>
    <col min="13066" max="13066" width="8.85546875" style="31"/>
    <col min="13067" max="13067" width="13.7109375" style="31" customWidth="1"/>
    <col min="13068" max="13068" width="10.85546875" style="31" customWidth="1"/>
    <col min="13069" max="13313" width="8.85546875" style="31"/>
    <col min="13314" max="13314" width="13.7109375" style="31" customWidth="1"/>
    <col min="13315" max="13315" width="11" style="31" customWidth="1"/>
    <col min="13316" max="13316" width="14.28515625" style="31" customWidth="1"/>
    <col min="13317" max="13317" width="13.7109375" style="31" customWidth="1"/>
    <col min="13318" max="13318" width="10.85546875" style="31" customWidth="1"/>
    <col min="13319" max="13319" width="8.85546875" style="31"/>
    <col min="13320" max="13320" width="13.7109375" style="31" customWidth="1"/>
    <col min="13321" max="13321" width="10.85546875" style="31" customWidth="1"/>
    <col min="13322" max="13322" width="8.85546875" style="31"/>
    <col min="13323" max="13323" width="13.7109375" style="31" customWidth="1"/>
    <col min="13324" max="13324" width="10.85546875" style="31" customWidth="1"/>
    <col min="13325" max="13569" width="8.85546875" style="31"/>
    <col min="13570" max="13570" width="13.7109375" style="31" customWidth="1"/>
    <col min="13571" max="13571" width="11" style="31" customWidth="1"/>
    <col min="13572" max="13572" width="14.28515625" style="31" customWidth="1"/>
    <col min="13573" max="13573" width="13.7109375" style="31" customWidth="1"/>
    <col min="13574" max="13574" width="10.85546875" style="31" customWidth="1"/>
    <col min="13575" max="13575" width="8.85546875" style="31"/>
    <col min="13576" max="13576" width="13.7109375" style="31" customWidth="1"/>
    <col min="13577" max="13577" width="10.85546875" style="31" customWidth="1"/>
    <col min="13578" max="13578" width="8.85546875" style="31"/>
    <col min="13579" max="13579" width="13.7109375" style="31" customWidth="1"/>
    <col min="13580" max="13580" width="10.85546875" style="31" customWidth="1"/>
    <col min="13581" max="13825" width="8.85546875" style="31"/>
    <col min="13826" max="13826" width="13.7109375" style="31" customWidth="1"/>
    <col min="13827" max="13827" width="11" style="31" customWidth="1"/>
    <col min="13828" max="13828" width="14.28515625" style="31" customWidth="1"/>
    <col min="13829" max="13829" width="13.7109375" style="31" customWidth="1"/>
    <col min="13830" max="13830" width="10.85546875" style="31" customWidth="1"/>
    <col min="13831" max="13831" width="8.85546875" style="31"/>
    <col min="13832" max="13832" width="13.7109375" style="31" customWidth="1"/>
    <col min="13833" max="13833" width="10.85546875" style="31" customWidth="1"/>
    <col min="13834" max="13834" width="8.85546875" style="31"/>
    <col min="13835" max="13835" width="13.7109375" style="31" customWidth="1"/>
    <col min="13836" max="13836" width="10.85546875" style="31" customWidth="1"/>
    <col min="13837" max="14081" width="8.85546875" style="31"/>
    <col min="14082" max="14082" width="13.7109375" style="31" customWidth="1"/>
    <col min="14083" max="14083" width="11" style="31" customWidth="1"/>
    <col min="14084" max="14084" width="14.28515625" style="31" customWidth="1"/>
    <col min="14085" max="14085" width="13.7109375" style="31" customWidth="1"/>
    <col min="14086" max="14086" width="10.85546875" style="31" customWidth="1"/>
    <col min="14087" max="14087" width="8.85546875" style="31"/>
    <col min="14088" max="14088" width="13.7109375" style="31" customWidth="1"/>
    <col min="14089" max="14089" width="10.85546875" style="31" customWidth="1"/>
    <col min="14090" max="14090" width="8.85546875" style="31"/>
    <col min="14091" max="14091" width="13.7109375" style="31" customWidth="1"/>
    <col min="14092" max="14092" width="10.85546875" style="31" customWidth="1"/>
    <col min="14093" max="14337" width="8.85546875" style="31"/>
    <col min="14338" max="14338" width="13.7109375" style="31" customWidth="1"/>
    <col min="14339" max="14339" width="11" style="31" customWidth="1"/>
    <col min="14340" max="14340" width="14.28515625" style="31" customWidth="1"/>
    <col min="14341" max="14341" width="13.7109375" style="31" customWidth="1"/>
    <col min="14342" max="14342" width="10.85546875" style="31" customWidth="1"/>
    <col min="14343" max="14343" width="8.85546875" style="31"/>
    <col min="14344" max="14344" width="13.7109375" style="31" customWidth="1"/>
    <col min="14345" max="14345" width="10.85546875" style="31" customWidth="1"/>
    <col min="14346" max="14346" width="8.85546875" style="31"/>
    <col min="14347" max="14347" width="13.7109375" style="31" customWidth="1"/>
    <col min="14348" max="14348" width="10.85546875" style="31" customWidth="1"/>
    <col min="14349" max="14593" width="8.85546875" style="31"/>
    <col min="14594" max="14594" width="13.7109375" style="31" customWidth="1"/>
    <col min="14595" max="14595" width="11" style="31" customWidth="1"/>
    <col min="14596" max="14596" width="14.28515625" style="31" customWidth="1"/>
    <col min="14597" max="14597" width="13.7109375" style="31" customWidth="1"/>
    <col min="14598" max="14598" width="10.85546875" style="31" customWidth="1"/>
    <col min="14599" max="14599" width="8.85546875" style="31"/>
    <col min="14600" max="14600" width="13.7109375" style="31" customWidth="1"/>
    <col min="14601" max="14601" width="10.85546875" style="31" customWidth="1"/>
    <col min="14602" max="14602" width="8.85546875" style="31"/>
    <col min="14603" max="14603" width="13.7109375" style="31" customWidth="1"/>
    <col min="14604" max="14604" width="10.85546875" style="31" customWidth="1"/>
    <col min="14605" max="14849" width="8.85546875" style="31"/>
    <col min="14850" max="14850" width="13.7109375" style="31" customWidth="1"/>
    <col min="14851" max="14851" width="11" style="31" customWidth="1"/>
    <col min="14852" max="14852" width="14.28515625" style="31" customWidth="1"/>
    <col min="14853" max="14853" width="13.7109375" style="31" customWidth="1"/>
    <col min="14854" max="14854" width="10.85546875" style="31" customWidth="1"/>
    <col min="14855" max="14855" width="8.85546875" style="31"/>
    <col min="14856" max="14856" width="13.7109375" style="31" customWidth="1"/>
    <col min="14857" max="14857" width="10.85546875" style="31" customWidth="1"/>
    <col min="14858" max="14858" width="8.85546875" style="31"/>
    <col min="14859" max="14859" width="13.7109375" style="31" customWidth="1"/>
    <col min="14860" max="14860" width="10.85546875" style="31" customWidth="1"/>
    <col min="14861" max="15105" width="8.85546875" style="31"/>
    <col min="15106" max="15106" width="13.7109375" style="31" customWidth="1"/>
    <col min="15107" max="15107" width="11" style="31" customWidth="1"/>
    <col min="15108" max="15108" width="14.28515625" style="31" customWidth="1"/>
    <col min="15109" max="15109" width="13.7109375" style="31" customWidth="1"/>
    <col min="15110" max="15110" width="10.85546875" style="31" customWidth="1"/>
    <col min="15111" max="15111" width="8.85546875" style="31"/>
    <col min="15112" max="15112" width="13.7109375" style="31" customWidth="1"/>
    <col min="15113" max="15113" width="10.85546875" style="31" customWidth="1"/>
    <col min="15114" max="15114" width="8.85546875" style="31"/>
    <col min="15115" max="15115" width="13.7109375" style="31" customWidth="1"/>
    <col min="15116" max="15116" width="10.85546875" style="31" customWidth="1"/>
    <col min="15117" max="15361" width="8.85546875" style="31"/>
    <col min="15362" max="15362" width="13.7109375" style="31" customWidth="1"/>
    <col min="15363" max="15363" width="11" style="31" customWidth="1"/>
    <col min="15364" max="15364" width="14.28515625" style="31" customWidth="1"/>
    <col min="15365" max="15365" width="13.7109375" style="31" customWidth="1"/>
    <col min="15366" max="15366" width="10.85546875" style="31" customWidth="1"/>
    <col min="15367" max="15367" width="8.85546875" style="31"/>
    <col min="15368" max="15368" width="13.7109375" style="31" customWidth="1"/>
    <col min="15369" max="15369" width="10.85546875" style="31" customWidth="1"/>
    <col min="15370" max="15370" width="8.85546875" style="31"/>
    <col min="15371" max="15371" width="13.7109375" style="31" customWidth="1"/>
    <col min="15372" max="15372" width="10.85546875" style="31" customWidth="1"/>
    <col min="15373" max="15617" width="8.85546875" style="31"/>
    <col min="15618" max="15618" width="13.7109375" style="31" customWidth="1"/>
    <col min="15619" max="15619" width="11" style="31" customWidth="1"/>
    <col min="15620" max="15620" width="14.28515625" style="31" customWidth="1"/>
    <col min="15621" max="15621" width="13.7109375" style="31" customWidth="1"/>
    <col min="15622" max="15622" width="10.85546875" style="31" customWidth="1"/>
    <col min="15623" max="15623" width="8.85546875" style="31"/>
    <col min="15624" max="15624" width="13.7109375" style="31" customWidth="1"/>
    <col min="15625" max="15625" width="10.85546875" style="31" customWidth="1"/>
    <col min="15626" max="15626" width="8.85546875" style="31"/>
    <col min="15627" max="15627" width="13.7109375" style="31" customWidth="1"/>
    <col min="15628" max="15628" width="10.85546875" style="31" customWidth="1"/>
    <col min="15629" max="15873" width="8.85546875" style="31"/>
    <col min="15874" max="15874" width="13.7109375" style="31" customWidth="1"/>
    <col min="15875" max="15875" width="11" style="31" customWidth="1"/>
    <col min="15876" max="15876" width="14.28515625" style="31" customWidth="1"/>
    <col min="15877" max="15877" width="13.7109375" style="31" customWidth="1"/>
    <col min="15878" max="15878" width="10.85546875" style="31" customWidth="1"/>
    <col min="15879" max="15879" width="8.85546875" style="31"/>
    <col min="15880" max="15880" width="13.7109375" style="31" customWidth="1"/>
    <col min="15881" max="15881" width="10.85546875" style="31" customWidth="1"/>
    <col min="15882" max="15882" width="8.85546875" style="31"/>
    <col min="15883" max="15883" width="13.7109375" style="31" customWidth="1"/>
    <col min="15884" max="15884" width="10.85546875" style="31" customWidth="1"/>
    <col min="15885" max="16129" width="8.85546875" style="31"/>
    <col min="16130" max="16130" width="13.7109375" style="31" customWidth="1"/>
    <col min="16131" max="16131" width="11" style="31" customWidth="1"/>
    <col min="16132" max="16132" width="14.28515625" style="31" customWidth="1"/>
    <col min="16133" max="16133" width="13.7109375" style="31" customWidth="1"/>
    <col min="16134" max="16134" width="10.85546875" style="31" customWidth="1"/>
    <col min="16135" max="16135" width="8.85546875" style="31"/>
    <col min="16136" max="16136" width="13.7109375" style="31" customWidth="1"/>
    <col min="16137" max="16137" width="10.85546875" style="31" customWidth="1"/>
    <col min="16138" max="16138" width="8.85546875" style="31"/>
    <col min="16139" max="16139" width="13.7109375" style="31" customWidth="1"/>
    <col min="16140" max="16140" width="10.85546875" style="31" customWidth="1"/>
    <col min="16141" max="16384" width="8.85546875" style="31"/>
  </cols>
  <sheetData>
    <row r="1" spans="1:12" x14ac:dyDescent="0.25">
      <c r="A1" s="24" t="s">
        <v>166</v>
      </c>
    </row>
    <row r="3" spans="1:12" x14ac:dyDescent="0.25">
      <c r="A3" s="282" t="s">
        <v>79</v>
      </c>
      <c r="B3" s="282"/>
      <c r="C3" s="282"/>
      <c r="D3" s="283" t="s">
        <v>80</v>
      </c>
      <c r="E3" s="284"/>
      <c r="F3" s="285"/>
      <c r="G3" s="283" t="s">
        <v>81</v>
      </c>
      <c r="H3" s="284"/>
      <c r="I3" s="284"/>
      <c r="J3" s="283" t="s">
        <v>119</v>
      </c>
      <c r="K3" s="284"/>
      <c r="L3" s="284"/>
    </row>
    <row r="4" spans="1:12" x14ac:dyDescent="0.25">
      <c r="A4" s="70" t="s">
        <v>2</v>
      </c>
      <c r="B4" s="71" t="s">
        <v>3</v>
      </c>
      <c r="C4" s="70" t="s">
        <v>4</v>
      </c>
      <c r="D4" s="72" t="s">
        <v>2</v>
      </c>
      <c r="E4" s="71" t="s">
        <v>3</v>
      </c>
      <c r="F4" s="122" t="s">
        <v>4</v>
      </c>
      <c r="G4" s="72" t="s">
        <v>2</v>
      </c>
      <c r="H4" s="71" t="s">
        <v>3</v>
      </c>
      <c r="I4" s="70" t="s">
        <v>4</v>
      </c>
      <c r="J4" s="72" t="s">
        <v>2</v>
      </c>
      <c r="K4" s="71" t="s">
        <v>3</v>
      </c>
      <c r="L4" s="70" t="s">
        <v>4</v>
      </c>
    </row>
    <row r="5" spans="1:12" x14ac:dyDescent="0.25">
      <c r="A5" s="132"/>
      <c r="C5" s="132" t="s">
        <v>54</v>
      </c>
      <c r="D5" s="133"/>
      <c r="E5" s="123"/>
      <c r="F5" s="134" t="s">
        <v>54</v>
      </c>
      <c r="G5" s="133"/>
      <c r="H5" s="123"/>
      <c r="I5" s="134" t="s">
        <v>54</v>
      </c>
      <c r="J5" s="133"/>
      <c r="K5" s="123"/>
      <c r="L5" s="134" t="s">
        <v>54</v>
      </c>
    </row>
    <row r="6" spans="1:12" x14ac:dyDescent="0.25">
      <c r="A6" s="132"/>
      <c r="D6" s="133"/>
      <c r="E6" s="123"/>
      <c r="F6" s="134"/>
      <c r="G6" s="133"/>
      <c r="H6" s="123"/>
      <c r="I6" s="134"/>
      <c r="J6" s="133"/>
      <c r="K6" s="123"/>
      <c r="L6" s="134"/>
    </row>
    <row r="7" spans="1:12" x14ac:dyDescent="0.25">
      <c r="A7" s="132">
        <v>1</v>
      </c>
      <c r="B7" s="73" t="s">
        <v>5</v>
      </c>
      <c r="C7" s="74">
        <v>40.642000000000003</v>
      </c>
      <c r="D7" s="133">
        <v>1</v>
      </c>
      <c r="E7" s="124" t="s">
        <v>5</v>
      </c>
      <c r="F7" s="74">
        <v>28.532</v>
      </c>
      <c r="G7" s="133">
        <v>1</v>
      </c>
      <c r="H7" s="124" t="s">
        <v>13</v>
      </c>
      <c r="I7" s="74">
        <v>8</v>
      </c>
      <c r="J7" s="133">
        <v>1</v>
      </c>
      <c r="K7" s="123" t="s">
        <v>5</v>
      </c>
      <c r="L7" s="74">
        <v>73.849999999999994</v>
      </c>
    </row>
    <row r="8" spans="1:12" x14ac:dyDescent="0.25">
      <c r="A8" s="132">
        <v>2</v>
      </c>
      <c r="B8" s="73" t="s">
        <v>8</v>
      </c>
      <c r="C8" s="74">
        <v>14</v>
      </c>
      <c r="D8" s="133">
        <v>2</v>
      </c>
      <c r="E8" s="124" t="s">
        <v>122</v>
      </c>
      <c r="F8" s="74">
        <v>23</v>
      </c>
      <c r="G8" s="133">
        <v>2</v>
      </c>
      <c r="H8" s="124" t="s">
        <v>121</v>
      </c>
      <c r="I8" s="74">
        <v>7</v>
      </c>
      <c r="J8" s="133">
        <v>2</v>
      </c>
      <c r="K8" s="123" t="s">
        <v>12</v>
      </c>
      <c r="L8" s="74">
        <v>29.454999999999998</v>
      </c>
    </row>
    <row r="9" spans="1:12" x14ac:dyDescent="0.25">
      <c r="A9" s="132">
        <v>3</v>
      </c>
      <c r="B9" s="73" t="s">
        <v>10</v>
      </c>
      <c r="C9" s="74">
        <v>14</v>
      </c>
      <c r="D9" s="133">
        <v>3</v>
      </c>
      <c r="E9" s="124" t="s">
        <v>15</v>
      </c>
      <c r="F9" s="74">
        <v>21.3</v>
      </c>
      <c r="G9" s="133">
        <v>3</v>
      </c>
      <c r="H9" s="124" t="s">
        <v>123</v>
      </c>
      <c r="I9" s="74">
        <v>6.5</v>
      </c>
      <c r="J9" s="133">
        <v>3</v>
      </c>
      <c r="K9" s="123" t="s">
        <v>122</v>
      </c>
      <c r="L9" s="74">
        <v>29.324999999999999</v>
      </c>
    </row>
    <row r="10" spans="1:12" x14ac:dyDescent="0.25">
      <c r="A10" s="132">
        <v>4</v>
      </c>
      <c r="B10" s="73" t="s">
        <v>12</v>
      </c>
      <c r="C10" s="74">
        <v>13</v>
      </c>
      <c r="D10" s="133">
        <v>4</v>
      </c>
      <c r="E10" s="124" t="s">
        <v>17</v>
      </c>
      <c r="F10" s="74">
        <v>17.3</v>
      </c>
      <c r="G10" s="133">
        <v>4</v>
      </c>
      <c r="H10" s="124" t="s">
        <v>125</v>
      </c>
      <c r="I10" s="74">
        <v>3.75</v>
      </c>
      <c r="J10" s="133">
        <v>4</v>
      </c>
      <c r="K10" s="123" t="s">
        <v>15</v>
      </c>
      <c r="L10" s="74">
        <v>27.305</v>
      </c>
    </row>
    <row r="11" spans="1:12" x14ac:dyDescent="0.25">
      <c r="A11" s="132">
        <v>5</v>
      </c>
      <c r="B11" s="73" t="s">
        <v>13</v>
      </c>
      <c r="C11" s="74">
        <v>3.8</v>
      </c>
      <c r="D11" s="133">
        <v>5</v>
      </c>
      <c r="E11" s="196" t="s">
        <v>183</v>
      </c>
      <c r="F11" s="74">
        <v>16.2</v>
      </c>
      <c r="G11" s="133">
        <v>5</v>
      </c>
      <c r="H11" s="124" t="s">
        <v>5</v>
      </c>
      <c r="I11" s="74">
        <v>3.2069999999999999</v>
      </c>
      <c r="J11" s="133">
        <v>5</v>
      </c>
      <c r="K11" s="196" t="s">
        <v>183</v>
      </c>
      <c r="L11" s="74">
        <v>22.75</v>
      </c>
    </row>
    <row r="12" spans="1:12" x14ac:dyDescent="0.25">
      <c r="A12" s="132">
        <v>6</v>
      </c>
      <c r="B12" s="196" t="s">
        <v>183</v>
      </c>
      <c r="C12" s="74">
        <v>3.1</v>
      </c>
      <c r="D12" s="133">
        <v>6</v>
      </c>
      <c r="E12" s="124" t="s">
        <v>127</v>
      </c>
      <c r="F12" s="74">
        <v>11</v>
      </c>
      <c r="G12" s="133">
        <v>6</v>
      </c>
      <c r="H12" s="124" t="s">
        <v>31</v>
      </c>
      <c r="I12" s="74">
        <v>0.9</v>
      </c>
      <c r="J12" s="133">
        <v>6</v>
      </c>
      <c r="K12" s="123" t="s">
        <v>10</v>
      </c>
      <c r="L12" s="74">
        <v>21.81</v>
      </c>
    </row>
    <row r="13" spans="1:12" x14ac:dyDescent="0.25">
      <c r="A13" s="132">
        <v>7</v>
      </c>
      <c r="B13" s="73" t="s">
        <v>15</v>
      </c>
      <c r="C13" s="74">
        <v>2.2000000000000002</v>
      </c>
      <c r="D13" s="133">
        <v>7</v>
      </c>
      <c r="E13" s="124" t="s">
        <v>12</v>
      </c>
      <c r="F13" s="74">
        <v>10.8</v>
      </c>
      <c r="G13" s="133">
        <v>7</v>
      </c>
      <c r="H13" s="124" t="s">
        <v>8</v>
      </c>
      <c r="I13" s="74">
        <v>0.85</v>
      </c>
      <c r="J13" s="133">
        <v>7</v>
      </c>
      <c r="K13" s="123" t="s">
        <v>17</v>
      </c>
      <c r="L13" s="74">
        <v>20.635000000000002</v>
      </c>
    </row>
    <row r="14" spans="1:12" x14ac:dyDescent="0.25">
      <c r="A14" s="132">
        <v>8</v>
      </c>
      <c r="B14" s="73" t="s">
        <v>18</v>
      </c>
      <c r="C14" s="74">
        <v>1.7</v>
      </c>
      <c r="D14" s="133">
        <v>8</v>
      </c>
      <c r="E14" s="124" t="s">
        <v>10</v>
      </c>
      <c r="F14" s="74">
        <v>5</v>
      </c>
      <c r="G14" s="133">
        <v>8</v>
      </c>
      <c r="H14" s="124" t="s">
        <v>33</v>
      </c>
      <c r="I14" s="74">
        <v>0.8</v>
      </c>
      <c r="J14" s="133">
        <v>8</v>
      </c>
      <c r="K14" s="123" t="s">
        <v>8</v>
      </c>
      <c r="L14" s="74">
        <v>16.855</v>
      </c>
    </row>
    <row r="15" spans="1:12" x14ac:dyDescent="0.25">
      <c r="A15" s="132">
        <v>9</v>
      </c>
      <c r="B15" s="73" t="s">
        <v>20</v>
      </c>
      <c r="C15" s="74">
        <v>1.5</v>
      </c>
      <c r="D15" s="133">
        <v>9</v>
      </c>
      <c r="E15" s="124" t="s">
        <v>32</v>
      </c>
      <c r="F15" s="74">
        <v>3.6</v>
      </c>
      <c r="G15" s="133">
        <v>9</v>
      </c>
      <c r="H15" s="124" t="s">
        <v>12</v>
      </c>
      <c r="I15" s="74">
        <v>0.65</v>
      </c>
      <c r="J15" s="133">
        <v>9</v>
      </c>
      <c r="K15" s="123" t="s">
        <v>13</v>
      </c>
      <c r="L15" s="74">
        <v>12.6</v>
      </c>
    </row>
    <row r="16" spans="1:12" x14ac:dyDescent="0.25">
      <c r="A16" s="134">
        <v>10</v>
      </c>
      <c r="B16" s="75" t="s">
        <v>22</v>
      </c>
      <c r="C16" s="76">
        <v>1.3</v>
      </c>
      <c r="D16" s="133">
        <v>10</v>
      </c>
      <c r="E16" s="124" t="s">
        <v>8</v>
      </c>
      <c r="F16" s="74">
        <v>2</v>
      </c>
      <c r="G16" s="133">
        <v>10</v>
      </c>
      <c r="H16" s="124" t="s">
        <v>124</v>
      </c>
      <c r="I16" s="74">
        <v>0.6</v>
      </c>
      <c r="J16" s="133">
        <v>10</v>
      </c>
      <c r="K16" s="123" t="s">
        <v>127</v>
      </c>
      <c r="L16" s="74">
        <v>11.862</v>
      </c>
    </row>
    <row r="17" spans="1:12" x14ac:dyDescent="0.25">
      <c r="A17" s="134"/>
      <c r="B17" s="75"/>
      <c r="C17" s="77"/>
      <c r="D17" s="133"/>
      <c r="E17" s="124"/>
      <c r="F17" s="76"/>
      <c r="G17" s="134"/>
      <c r="H17" s="124"/>
      <c r="I17" s="77"/>
      <c r="J17" s="133"/>
      <c r="K17" s="123"/>
      <c r="L17" s="77"/>
    </row>
    <row r="18" spans="1:12" x14ac:dyDescent="0.25">
      <c r="A18" s="134"/>
      <c r="B18" s="78" t="s">
        <v>24</v>
      </c>
      <c r="C18" s="77">
        <f>C20-(SUM(C7:C16))</f>
        <v>3.5950000000000131</v>
      </c>
      <c r="D18" s="133"/>
      <c r="E18" s="78" t="s">
        <v>24</v>
      </c>
      <c r="F18" s="76">
        <f>F20-(SUM(F7:F16))</f>
        <v>11.669000000000011</v>
      </c>
      <c r="G18" s="134"/>
      <c r="H18" s="78" t="s">
        <v>24</v>
      </c>
      <c r="I18" s="77">
        <f>I20-(SUM(I7:I16))</f>
        <v>3.0160000000000053</v>
      </c>
      <c r="J18" s="133"/>
      <c r="K18" s="78" t="s">
        <v>24</v>
      </c>
      <c r="L18" s="77">
        <f>L20-(SUM(L7:L16))</f>
        <v>44.565999999999974</v>
      </c>
    </row>
    <row r="19" spans="1:12" x14ac:dyDescent="0.25">
      <c r="A19" s="134"/>
      <c r="B19" s="75"/>
      <c r="C19" s="77"/>
      <c r="D19" s="133"/>
      <c r="E19" s="124"/>
      <c r="F19" s="76"/>
      <c r="G19" s="134"/>
      <c r="H19" s="124"/>
      <c r="I19" s="77"/>
      <c r="J19" s="133"/>
      <c r="K19" s="123"/>
      <c r="L19" s="77"/>
    </row>
    <row r="20" spans="1:12" x14ac:dyDescent="0.25">
      <c r="A20" s="70"/>
      <c r="B20" s="79" t="s">
        <v>25</v>
      </c>
      <c r="C20" s="80">
        <v>98.837000000000003</v>
      </c>
      <c r="D20" s="72"/>
      <c r="E20" s="79" t="s">
        <v>25</v>
      </c>
      <c r="F20" s="125">
        <v>150.40100000000001</v>
      </c>
      <c r="G20" s="70"/>
      <c r="H20" s="79" t="s">
        <v>25</v>
      </c>
      <c r="I20" s="126">
        <v>35.273000000000003</v>
      </c>
      <c r="J20" s="72"/>
      <c r="K20" s="79" t="s">
        <v>25</v>
      </c>
      <c r="L20" s="80">
        <v>311.01299999999998</v>
      </c>
    </row>
    <row r="22" spans="1:12" x14ac:dyDescent="0.25">
      <c r="A22" s="31" t="s">
        <v>129</v>
      </c>
    </row>
    <row r="24" spans="1:12" ht="27" customHeight="1" x14ac:dyDescent="0.25">
      <c r="A24" s="278" t="s">
        <v>26</v>
      </c>
      <c r="B24" s="278"/>
      <c r="C24" s="278"/>
      <c r="D24" s="278"/>
      <c r="E24" s="278"/>
      <c r="F24" s="278"/>
      <c r="G24" s="278"/>
      <c r="H24" s="278"/>
      <c r="I24" s="278"/>
      <c r="J24" s="278"/>
      <c r="K24" s="278"/>
      <c r="L24" s="278"/>
    </row>
    <row r="26" spans="1:12" x14ac:dyDescent="0.25">
      <c r="A26" s="259" t="s">
        <v>164</v>
      </c>
      <c r="B26" s="259"/>
      <c r="C26" s="259"/>
      <c r="D26" s="259"/>
      <c r="E26" s="259"/>
      <c r="F26" s="259"/>
      <c r="G26" s="259"/>
      <c r="H26" s="259"/>
      <c r="I26" s="259"/>
      <c r="J26" s="259"/>
      <c r="K26" s="259"/>
      <c r="L26" s="259"/>
    </row>
    <row r="27" spans="1:12" ht="17.25" customHeight="1" x14ac:dyDescent="0.25">
      <c r="A27" s="259"/>
      <c r="B27" s="259"/>
      <c r="C27" s="259"/>
      <c r="D27" s="259"/>
      <c r="E27" s="259"/>
      <c r="F27" s="259"/>
      <c r="G27" s="259"/>
      <c r="H27" s="259"/>
      <c r="I27" s="259"/>
      <c r="J27" s="259"/>
      <c r="K27" s="259"/>
      <c r="L27" s="259"/>
    </row>
  </sheetData>
  <mergeCells count="6">
    <mergeCell ref="A26:L27"/>
    <mergeCell ref="A3:C3"/>
    <mergeCell ref="D3:F3"/>
    <mergeCell ref="G3:I3"/>
    <mergeCell ref="J3:L3"/>
    <mergeCell ref="A24:L24"/>
  </mergeCells>
  <phoneticPr fontId="68" type="noConversion"/>
  <pageMargins left="0.7" right="0.7" top="0.75" bottom="0.75" header="0.3" footer="0.3"/>
  <pageSetup scale="75" orientation="landscape"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L27"/>
  <sheetViews>
    <sheetView zoomScaleNormal="100" zoomScaleSheetLayoutView="100" workbookViewId="0"/>
  </sheetViews>
  <sheetFormatPr defaultColWidth="8.85546875" defaultRowHeight="12.75" x14ac:dyDescent="0.25"/>
  <cols>
    <col min="1" max="1" width="8.85546875" style="31"/>
    <col min="2" max="2" width="14.7109375" style="31" customWidth="1"/>
    <col min="3" max="3" width="11" style="132" customWidth="1"/>
    <col min="4" max="4" width="14.28515625" style="31" customWidth="1"/>
    <col min="5" max="5" width="14.7109375" style="31" customWidth="1"/>
    <col min="6" max="6" width="10.85546875" style="132" customWidth="1"/>
    <col min="7" max="7" width="8.85546875" style="31"/>
    <col min="8" max="8" width="14.7109375" style="31" customWidth="1"/>
    <col min="9" max="9" width="10.85546875" style="132" customWidth="1"/>
    <col min="10" max="10" width="8.85546875" style="31"/>
    <col min="11" max="11" width="14.7109375" style="31" customWidth="1"/>
    <col min="12" max="12" width="10.85546875" style="31" customWidth="1"/>
    <col min="13" max="257" width="8.85546875" style="31"/>
    <col min="258" max="258" width="13.7109375" style="31" customWidth="1"/>
    <col min="259" max="259" width="11" style="31" customWidth="1"/>
    <col min="260" max="260" width="14.28515625" style="31" customWidth="1"/>
    <col min="261" max="261" width="13.7109375" style="31" customWidth="1"/>
    <col min="262" max="262" width="10.85546875" style="31" customWidth="1"/>
    <col min="263" max="263" width="8.85546875" style="31"/>
    <col min="264" max="264" width="13.7109375" style="31" customWidth="1"/>
    <col min="265" max="265" width="10.85546875" style="31" customWidth="1"/>
    <col min="266" max="266" width="8.85546875" style="31"/>
    <col min="267" max="267" width="13.7109375" style="31" customWidth="1"/>
    <col min="268" max="268" width="10.85546875" style="31" customWidth="1"/>
    <col min="269" max="513" width="8.85546875" style="31"/>
    <col min="514" max="514" width="13.7109375" style="31" customWidth="1"/>
    <col min="515" max="515" width="11" style="31" customWidth="1"/>
    <col min="516" max="516" width="14.28515625" style="31" customWidth="1"/>
    <col min="517" max="517" width="13.7109375" style="31" customWidth="1"/>
    <col min="518" max="518" width="10.85546875" style="31" customWidth="1"/>
    <col min="519" max="519" width="8.85546875" style="31"/>
    <col min="520" max="520" width="13.7109375" style="31" customWidth="1"/>
    <col min="521" max="521" width="10.85546875" style="31" customWidth="1"/>
    <col min="522" max="522" width="8.85546875" style="31"/>
    <col min="523" max="523" width="13.7109375" style="31" customWidth="1"/>
    <col min="524" max="524" width="10.85546875" style="31" customWidth="1"/>
    <col min="525" max="769" width="8.85546875" style="31"/>
    <col min="770" max="770" width="13.7109375" style="31" customWidth="1"/>
    <col min="771" max="771" width="11" style="31" customWidth="1"/>
    <col min="772" max="772" width="14.28515625" style="31" customWidth="1"/>
    <col min="773" max="773" width="13.7109375" style="31" customWidth="1"/>
    <col min="774" max="774" width="10.85546875" style="31" customWidth="1"/>
    <col min="775" max="775" width="8.85546875" style="31"/>
    <col min="776" max="776" width="13.7109375" style="31" customWidth="1"/>
    <col min="777" max="777" width="10.85546875" style="31" customWidth="1"/>
    <col min="778" max="778" width="8.85546875" style="31"/>
    <col min="779" max="779" width="13.7109375" style="31" customWidth="1"/>
    <col min="780" max="780" width="10.85546875" style="31" customWidth="1"/>
    <col min="781" max="1025" width="8.85546875" style="31"/>
    <col min="1026" max="1026" width="13.7109375" style="31" customWidth="1"/>
    <col min="1027" max="1027" width="11" style="31" customWidth="1"/>
    <col min="1028" max="1028" width="14.28515625" style="31" customWidth="1"/>
    <col min="1029" max="1029" width="13.7109375" style="31" customWidth="1"/>
    <col min="1030" max="1030" width="10.85546875" style="31" customWidth="1"/>
    <col min="1031" max="1031" width="8.85546875" style="31"/>
    <col min="1032" max="1032" width="13.7109375" style="31" customWidth="1"/>
    <col min="1033" max="1033" width="10.85546875" style="31" customWidth="1"/>
    <col min="1034" max="1034" width="8.85546875" style="31"/>
    <col min="1035" max="1035" width="13.7109375" style="31" customWidth="1"/>
    <col min="1036" max="1036" width="10.85546875" style="31" customWidth="1"/>
    <col min="1037" max="1281" width="8.85546875" style="31"/>
    <col min="1282" max="1282" width="13.7109375" style="31" customWidth="1"/>
    <col min="1283" max="1283" width="11" style="31" customWidth="1"/>
    <col min="1284" max="1284" width="14.28515625" style="31" customWidth="1"/>
    <col min="1285" max="1285" width="13.7109375" style="31" customWidth="1"/>
    <col min="1286" max="1286" width="10.85546875" style="31" customWidth="1"/>
    <col min="1287" max="1287" width="8.85546875" style="31"/>
    <col min="1288" max="1288" width="13.7109375" style="31" customWidth="1"/>
    <col min="1289" max="1289" width="10.85546875" style="31" customWidth="1"/>
    <col min="1290" max="1290" width="8.85546875" style="31"/>
    <col min="1291" max="1291" width="13.7109375" style="31" customWidth="1"/>
    <col min="1292" max="1292" width="10.85546875" style="31" customWidth="1"/>
    <col min="1293" max="1537" width="8.85546875" style="31"/>
    <col min="1538" max="1538" width="13.7109375" style="31" customWidth="1"/>
    <col min="1539" max="1539" width="11" style="31" customWidth="1"/>
    <col min="1540" max="1540" width="14.28515625" style="31" customWidth="1"/>
    <col min="1541" max="1541" width="13.7109375" style="31" customWidth="1"/>
    <col min="1542" max="1542" width="10.85546875" style="31" customWidth="1"/>
    <col min="1543" max="1543" width="8.85546875" style="31"/>
    <col min="1544" max="1544" width="13.7109375" style="31" customWidth="1"/>
    <col min="1545" max="1545" width="10.85546875" style="31" customWidth="1"/>
    <col min="1546" max="1546" width="8.85546875" style="31"/>
    <col min="1547" max="1547" width="13.7109375" style="31" customWidth="1"/>
    <col min="1548" max="1548" width="10.85546875" style="31" customWidth="1"/>
    <col min="1549" max="1793" width="8.85546875" style="31"/>
    <col min="1794" max="1794" width="13.7109375" style="31" customWidth="1"/>
    <col min="1795" max="1795" width="11" style="31" customWidth="1"/>
    <col min="1796" max="1796" width="14.28515625" style="31" customWidth="1"/>
    <col min="1797" max="1797" width="13.7109375" style="31" customWidth="1"/>
    <col min="1798" max="1798" width="10.85546875" style="31" customWidth="1"/>
    <col min="1799" max="1799" width="8.85546875" style="31"/>
    <col min="1800" max="1800" width="13.7109375" style="31" customWidth="1"/>
    <col min="1801" max="1801" width="10.85546875" style="31" customWidth="1"/>
    <col min="1802" max="1802" width="8.85546875" style="31"/>
    <col min="1803" max="1803" width="13.7109375" style="31" customWidth="1"/>
    <col min="1804" max="1804" width="10.85546875" style="31" customWidth="1"/>
    <col min="1805" max="2049" width="8.85546875" style="31"/>
    <col min="2050" max="2050" width="13.7109375" style="31" customWidth="1"/>
    <col min="2051" max="2051" width="11" style="31" customWidth="1"/>
    <col min="2052" max="2052" width="14.28515625" style="31" customWidth="1"/>
    <col min="2053" max="2053" width="13.7109375" style="31" customWidth="1"/>
    <col min="2054" max="2054" width="10.85546875" style="31" customWidth="1"/>
    <col min="2055" max="2055" width="8.85546875" style="31"/>
    <col min="2056" max="2056" width="13.7109375" style="31" customWidth="1"/>
    <col min="2057" max="2057" width="10.85546875" style="31" customWidth="1"/>
    <col min="2058" max="2058" width="8.85546875" style="31"/>
    <col min="2059" max="2059" width="13.7109375" style="31" customWidth="1"/>
    <col min="2060" max="2060" width="10.85546875" style="31" customWidth="1"/>
    <col min="2061" max="2305" width="8.85546875" style="31"/>
    <col min="2306" max="2306" width="13.7109375" style="31" customWidth="1"/>
    <col min="2307" max="2307" width="11" style="31" customWidth="1"/>
    <col min="2308" max="2308" width="14.28515625" style="31" customWidth="1"/>
    <col min="2309" max="2309" width="13.7109375" style="31" customWidth="1"/>
    <col min="2310" max="2310" width="10.85546875" style="31" customWidth="1"/>
    <col min="2311" max="2311" width="8.85546875" style="31"/>
    <col min="2312" max="2312" width="13.7109375" style="31" customWidth="1"/>
    <col min="2313" max="2313" width="10.85546875" style="31" customWidth="1"/>
    <col min="2314" max="2314" width="8.85546875" style="31"/>
    <col min="2315" max="2315" width="13.7109375" style="31" customWidth="1"/>
    <col min="2316" max="2316" width="10.85546875" style="31" customWidth="1"/>
    <col min="2317" max="2561" width="8.85546875" style="31"/>
    <col min="2562" max="2562" width="13.7109375" style="31" customWidth="1"/>
    <col min="2563" max="2563" width="11" style="31" customWidth="1"/>
    <col min="2564" max="2564" width="14.28515625" style="31" customWidth="1"/>
    <col min="2565" max="2565" width="13.7109375" style="31" customWidth="1"/>
    <col min="2566" max="2566" width="10.85546875" style="31" customWidth="1"/>
    <col min="2567" max="2567" width="8.85546875" style="31"/>
    <col min="2568" max="2568" width="13.7109375" style="31" customWidth="1"/>
    <col min="2569" max="2569" width="10.85546875" style="31" customWidth="1"/>
    <col min="2570" max="2570" width="8.85546875" style="31"/>
    <col min="2571" max="2571" width="13.7109375" style="31" customWidth="1"/>
    <col min="2572" max="2572" width="10.85546875" style="31" customWidth="1"/>
    <col min="2573" max="2817" width="8.85546875" style="31"/>
    <col min="2818" max="2818" width="13.7109375" style="31" customWidth="1"/>
    <col min="2819" max="2819" width="11" style="31" customWidth="1"/>
    <col min="2820" max="2820" width="14.28515625" style="31" customWidth="1"/>
    <col min="2821" max="2821" width="13.7109375" style="31" customWidth="1"/>
    <col min="2822" max="2822" width="10.85546875" style="31" customWidth="1"/>
    <col min="2823" max="2823" width="8.85546875" style="31"/>
    <col min="2824" max="2824" width="13.7109375" style="31" customWidth="1"/>
    <col min="2825" max="2825" width="10.85546875" style="31" customWidth="1"/>
    <col min="2826" max="2826" width="8.85546875" style="31"/>
    <col min="2827" max="2827" width="13.7109375" style="31" customWidth="1"/>
    <col min="2828" max="2828" width="10.85546875" style="31" customWidth="1"/>
    <col min="2829" max="3073" width="8.85546875" style="31"/>
    <col min="3074" max="3074" width="13.7109375" style="31" customWidth="1"/>
    <col min="3075" max="3075" width="11" style="31" customWidth="1"/>
    <col min="3076" max="3076" width="14.28515625" style="31" customWidth="1"/>
    <col min="3077" max="3077" width="13.7109375" style="31" customWidth="1"/>
    <col min="3078" max="3078" width="10.85546875" style="31" customWidth="1"/>
    <col min="3079" max="3079" width="8.85546875" style="31"/>
    <col min="3080" max="3080" width="13.7109375" style="31" customWidth="1"/>
    <col min="3081" max="3081" width="10.85546875" style="31" customWidth="1"/>
    <col min="3082" max="3082" width="8.85546875" style="31"/>
    <col min="3083" max="3083" width="13.7109375" style="31" customWidth="1"/>
    <col min="3084" max="3084" width="10.85546875" style="31" customWidth="1"/>
    <col min="3085" max="3329" width="8.85546875" style="31"/>
    <col min="3330" max="3330" width="13.7109375" style="31" customWidth="1"/>
    <col min="3331" max="3331" width="11" style="31" customWidth="1"/>
    <col min="3332" max="3332" width="14.28515625" style="31" customWidth="1"/>
    <col min="3333" max="3333" width="13.7109375" style="31" customWidth="1"/>
    <col min="3334" max="3334" width="10.85546875" style="31" customWidth="1"/>
    <col min="3335" max="3335" width="8.85546875" style="31"/>
    <col min="3336" max="3336" width="13.7109375" style="31" customWidth="1"/>
    <col min="3337" max="3337" width="10.85546875" style="31" customWidth="1"/>
    <col min="3338" max="3338" width="8.85546875" style="31"/>
    <col min="3339" max="3339" width="13.7109375" style="31" customWidth="1"/>
    <col min="3340" max="3340" width="10.85546875" style="31" customWidth="1"/>
    <col min="3341" max="3585" width="8.85546875" style="31"/>
    <col min="3586" max="3586" width="13.7109375" style="31" customWidth="1"/>
    <col min="3587" max="3587" width="11" style="31" customWidth="1"/>
    <col min="3588" max="3588" width="14.28515625" style="31" customWidth="1"/>
    <col min="3589" max="3589" width="13.7109375" style="31" customWidth="1"/>
    <col min="3590" max="3590" width="10.85546875" style="31" customWidth="1"/>
    <col min="3591" max="3591" width="8.85546875" style="31"/>
    <col min="3592" max="3592" width="13.7109375" style="31" customWidth="1"/>
    <col min="3593" max="3593" width="10.85546875" style="31" customWidth="1"/>
    <col min="3594" max="3594" width="8.85546875" style="31"/>
    <col min="3595" max="3595" width="13.7109375" style="31" customWidth="1"/>
    <col min="3596" max="3596" width="10.85546875" style="31" customWidth="1"/>
    <col min="3597" max="3841" width="8.85546875" style="31"/>
    <col min="3842" max="3842" width="13.7109375" style="31" customWidth="1"/>
    <col min="3843" max="3843" width="11" style="31" customWidth="1"/>
    <col min="3844" max="3844" width="14.28515625" style="31" customWidth="1"/>
    <col min="3845" max="3845" width="13.7109375" style="31" customWidth="1"/>
    <col min="3846" max="3846" width="10.85546875" style="31" customWidth="1"/>
    <col min="3847" max="3847" width="8.85546875" style="31"/>
    <col min="3848" max="3848" width="13.7109375" style="31" customWidth="1"/>
    <col min="3849" max="3849" width="10.85546875" style="31" customWidth="1"/>
    <col min="3850" max="3850" width="8.85546875" style="31"/>
    <col min="3851" max="3851" width="13.7109375" style="31" customWidth="1"/>
    <col min="3852" max="3852" width="10.85546875" style="31" customWidth="1"/>
    <col min="3853" max="4097" width="8.85546875" style="31"/>
    <col min="4098" max="4098" width="13.7109375" style="31" customWidth="1"/>
    <col min="4099" max="4099" width="11" style="31" customWidth="1"/>
    <col min="4100" max="4100" width="14.28515625" style="31" customWidth="1"/>
    <col min="4101" max="4101" width="13.7109375" style="31" customWidth="1"/>
    <col min="4102" max="4102" width="10.85546875" style="31" customWidth="1"/>
    <col min="4103" max="4103" width="8.85546875" style="31"/>
    <col min="4104" max="4104" width="13.7109375" style="31" customWidth="1"/>
    <col min="4105" max="4105" width="10.85546875" style="31" customWidth="1"/>
    <col min="4106" max="4106" width="8.85546875" style="31"/>
    <col min="4107" max="4107" width="13.7109375" style="31" customWidth="1"/>
    <col min="4108" max="4108" width="10.85546875" style="31" customWidth="1"/>
    <col min="4109" max="4353" width="8.85546875" style="31"/>
    <col min="4354" max="4354" width="13.7109375" style="31" customWidth="1"/>
    <col min="4355" max="4355" width="11" style="31" customWidth="1"/>
    <col min="4356" max="4356" width="14.28515625" style="31" customWidth="1"/>
    <col min="4357" max="4357" width="13.7109375" style="31" customWidth="1"/>
    <col min="4358" max="4358" width="10.85546875" style="31" customWidth="1"/>
    <col min="4359" max="4359" width="8.85546875" style="31"/>
    <col min="4360" max="4360" width="13.7109375" style="31" customWidth="1"/>
    <col min="4361" max="4361" width="10.85546875" style="31" customWidth="1"/>
    <col min="4362" max="4362" width="8.85546875" style="31"/>
    <col min="4363" max="4363" width="13.7109375" style="31" customWidth="1"/>
    <col min="4364" max="4364" width="10.85546875" style="31" customWidth="1"/>
    <col min="4365" max="4609" width="8.85546875" style="31"/>
    <col min="4610" max="4610" width="13.7109375" style="31" customWidth="1"/>
    <col min="4611" max="4611" width="11" style="31" customWidth="1"/>
    <col min="4612" max="4612" width="14.28515625" style="31" customWidth="1"/>
    <col min="4613" max="4613" width="13.7109375" style="31" customWidth="1"/>
    <col min="4614" max="4614" width="10.85546875" style="31" customWidth="1"/>
    <col min="4615" max="4615" width="8.85546875" style="31"/>
    <col min="4616" max="4616" width="13.7109375" style="31" customWidth="1"/>
    <col min="4617" max="4617" width="10.85546875" style="31" customWidth="1"/>
    <col min="4618" max="4618" width="8.85546875" style="31"/>
    <col min="4619" max="4619" width="13.7109375" style="31" customWidth="1"/>
    <col min="4620" max="4620" width="10.85546875" style="31" customWidth="1"/>
    <col min="4621" max="4865" width="8.85546875" style="31"/>
    <col min="4866" max="4866" width="13.7109375" style="31" customWidth="1"/>
    <col min="4867" max="4867" width="11" style="31" customWidth="1"/>
    <col min="4868" max="4868" width="14.28515625" style="31" customWidth="1"/>
    <col min="4869" max="4869" width="13.7109375" style="31" customWidth="1"/>
    <col min="4870" max="4870" width="10.85546875" style="31" customWidth="1"/>
    <col min="4871" max="4871" width="8.85546875" style="31"/>
    <col min="4872" max="4872" width="13.7109375" style="31" customWidth="1"/>
    <col min="4873" max="4873" width="10.85546875" style="31" customWidth="1"/>
    <col min="4874" max="4874" width="8.85546875" style="31"/>
    <col min="4875" max="4875" width="13.7109375" style="31" customWidth="1"/>
    <col min="4876" max="4876" width="10.85546875" style="31" customWidth="1"/>
    <col min="4877" max="5121" width="8.85546875" style="31"/>
    <col min="5122" max="5122" width="13.7109375" style="31" customWidth="1"/>
    <col min="5123" max="5123" width="11" style="31" customWidth="1"/>
    <col min="5124" max="5124" width="14.28515625" style="31" customWidth="1"/>
    <col min="5125" max="5125" width="13.7109375" style="31" customWidth="1"/>
    <col min="5126" max="5126" width="10.85546875" style="31" customWidth="1"/>
    <col min="5127" max="5127" width="8.85546875" style="31"/>
    <col min="5128" max="5128" width="13.7109375" style="31" customWidth="1"/>
    <col min="5129" max="5129" width="10.85546875" style="31" customWidth="1"/>
    <col min="5130" max="5130" width="8.85546875" style="31"/>
    <col min="5131" max="5131" width="13.7109375" style="31" customWidth="1"/>
    <col min="5132" max="5132" width="10.85546875" style="31" customWidth="1"/>
    <col min="5133" max="5377" width="8.85546875" style="31"/>
    <col min="5378" max="5378" width="13.7109375" style="31" customWidth="1"/>
    <col min="5379" max="5379" width="11" style="31" customWidth="1"/>
    <col min="5380" max="5380" width="14.28515625" style="31" customWidth="1"/>
    <col min="5381" max="5381" width="13.7109375" style="31" customWidth="1"/>
    <col min="5382" max="5382" width="10.85546875" style="31" customWidth="1"/>
    <col min="5383" max="5383" width="8.85546875" style="31"/>
    <col min="5384" max="5384" width="13.7109375" style="31" customWidth="1"/>
    <col min="5385" max="5385" width="10.85546875" style="31" customWidth="1"/>
    <col min="5386" max="5386" width="8.85546875" style="31"/>
    <col min="5387" max="5387" width="13.7109375" style="31" customWidth="1"/>
    <col min="5388" max="5388" width="10.85546875" style="31" customWidth="1"/>
    <col min="5389" max="5633" width="8.85546875" style="31"/>
    <col min="5634" max="5634" width="13.7109375" style="31" customWidth="1"/>
    <col min="5635" max="5635" width="11" style="31" customWidth="1"/>
    <col min="5636" max="5636" width="14.28515625" style="31" customWidth="1"/>
    <col min="5637" max="5637" width="13.7109375" style="31" customWidth="1"/>
    <col min="5638" max="5638" width="10.85546875" style="31" customWidth="1"/>
    <col min="5639" max="5639" width="8.85546875" style="31"/>
    <col min="5640" max="5640" width="13.7109375" style="31" customWidth="1"/>
    <col min="5641" max="5641" width="10.85546875" style="31" customWidth="1"/>
    <col min="5642" max="5642" width="8.85546875" style="31"/>
    <col min="5643" max="5643" width="13.7109375" style="31" customWidth="1"/>
    <col min="5644" max="5644" width="10.85546875" style="31" customWidth="1"/>
    <col min="5645" max="5889" width="8.85546875" style="31"/>
    <col min="5890" max="5890" width="13.7109375" style="31" customWidth="1"/>
    <col min="5891" max="5891" width="11" style="31" customWidth="1"/>
    <col min="5892" max="5892" width="14.28515625" style="31" customWidth="1"/>
    <col min="5893" max="5893" width="13.7109375" style="31" customWidth="1"/>
    <col min="5894" max="5894" width="10.85546875" style="31" customWidth="1"/>
    <col min="5895" max="5895" width="8.85546875" style="31"/>
    <col min="5896" max="5896" width="13.7109375" style="31" customWidth="1"/>
    <col min="5897" max="5897" width="10.85546875" style="31" customWidth="1"/>
    <col min="5898" max="5898" width="8.85546875" style="31"/>
    <col min="5899" max="5899" width="13.7109375" style="31" customWidth="1"/>
    <col min="5900" max="5900" width="10.85546875" style="31" customWidth="1"/>
    <col min="5901" max="6145" width="8.85546875" style="31"/>
    <col min="6146" max="6146" width="13.7109375" style="31" customWidth="1"/>
    <col min="6147" max="6147" width="11" style="31" customWidth="1"/>
    <col min="6148" max="6148" width="14.28515625" style="31" customWidth="1"/>
    <col min="6149" max="6149" width="13.7109375" style="31" customWidth="1"/>
    <col min="6150" max="6150" width="10.85546875" style="31" customWidth="1"/>
    <col min="6151" max="6151" width="8.85546875" style="31"/>
    <col min="6152" max="6152" width="13.7109375" style="31" customWidth="1"/>
    <col min="6153" max="6153" width="10.85546875" style="31" customWidth="1"/>
    <col min="6154" max="6154" width="8.85546875" style="31"/>
    <col min="6155" max="6155" width="13.7109375" style="31" customWidth="1"/>
    <col min="6156" max="6156" width="10.85546875" style="31" customWidth="1"/>
    <col min="6157" max="6401" width="8.85546875" style="31"/>
    <col min="6402" max="6402" width="13.7109375" style="31" customWidth="1"/>
    <col min="6403" max="6403" width="11" style="31" customWidth="1"/>
    <col min="6404" max="6404" width="14.28515625" style="31" customWidth="1"/>
    <col min="6405" max="6405" width="13.7109375" style="31" customWidth="1"/>
    <col min="6406" max="6406" width="10.85546875" style="31" customWidth="1"/>
    <col min="6407" max="6407" width="8.85546875" style="31"/>
    <col min="6408" max="6408" width="13.7109375" style="31" customWidth="1"/>
    <col min="6409" max="6409" width="10.85546875" style="31" customWidth="1"/>
    <col min="6410" max="6410" width="8.85546875" style="31"/>
    <col min="6411" max="6411" width="13.7109375" style="31" customWidth="1"/>
    <col min="6412" max="6412" width="10.85546875" style="31" customWidth="1"/>
    <col min="6413" max="6657" width="8.85546875" style="31"/>
    <col min="6658" max="6658" width="13.7109375" style="31" customWidth="1"/>
    <col min="6659" max="6659" width="11" style="31" customWidth="1"/>
    <col min="6660" max="6660" width="14.28515625" style="31" customWidth="1"/>
    <col min="6661" max="6661" width="13.7109375" style="31" customWidth="1"/>
    <col min="6662" max="6662" width="10.85546875" style="31" customWidth="1"/>
    <col min="6663" max="6663" width="8.85546875" style="31"/>
    <col min="6664" max="6664" width="13.7109375" style="31" customWidth="1"/>
    <col min="6665" max="6665" width="10.85546875" style="31" customWidth="1"/>
    <col min="6666" max="6666" width="8.85546875" style="31"/>
    <col min="6667" max="6667" width="13.7109375" style="31" customWidth="1"/>
    <col min="6668" max="6668" width="10.85546875" style="31" customWidth="1"/>
    <col min="6669" max="6913" width="8.85546875" style="31"/>
    <col min="6914" max="6914" width="13.7109375" style="31" customWidth="1"/>
    <col min="6915" max="6915" width="11" style="31" customWidth="1"/>
    <col min="6916" max="6916" width="14.28515625" style="31" customWidth="1"/>
    <col min="6917" max="6917" width="13.7109375" style="31" customWidth="1"/>
    <col min="6918" max="6918" width="10.85546875" style="31" customWidth="1"/>
    <col min="6919" max="6919" width="8.85546875" style="31"/>
    <col min="6920" max="6920" width="13.7109375" style="31" customWidth="1"/>
    <col min="6921" max="6921" width="10.85546875" style="31" customWidth="1"/>
    <col min="6922" max="6922" width="8.85546875" style="31"/>
    <col min="6923" max="6923" width="13.7109375" style="31" customWidth="1"/>
    <col min="6924" max="6924" width="10.85546875" style="31" customWidth="1"/>
    <col min="6925" max="7169" width="8.85546875" style="31"/>
    <col min="7170" max="7170" width="13.7109375" style="31" customWidth="1"/>
    <col min="7171" max="7171" width="11" style="31" customWidth="1"/>
    <col min="7172" max="7172" width="14.28515625" style="31" customWidth="1"/>
    <col min="7173" max="7173" width="13.7109375" style="31" customWidth="1"/>
    <col min="7174" max="7174" width="10.85546875" style="31" customWidth="1"/>
    <col min="7175" max="7175" width="8.85546875" style="31"/>
    <col min="7176" max="7176" width="13.7109375" style="31" customWidth="1"/>
    <col min="7177" max="7177" width="10.85546875" style="31" customWidth="1"/>
    <col min="7178" max="7178" width="8.85546875" style="31"/>
    <col min="7179" max="7179" width="13.7109375" style="31" customWidth="1"/>
    <col min="7180" max="7180" width="10.85546875" style="31" customWidth="1"/>
    <col min="7181" max="7425" width="8.85546875" style="31"/>
    <col min="7426" max="7426" width="13.7109375" style="31" customWidth="1"/>
    <col min="7427" max="7427" width="11" style="31" customWidth="1"/>
    <col min="7428" max="7428" width="14.28515625" style="31" customWidth="1"/>
    <col min="7429" max="7429" width="13.7109375" style="31" customWidth="1"/>
    <col min="7430" max="7430" width="10.85546875" style="31" customWidth="1"/>
    <col min="7431" max="7431" width="8.85546875" style="31"/>
    <col min="7432" max="7432" width="13.7109375" style="31" customWidth="1"/>
    <col min="7433" max="7433" width="10.85546875" style="31" customWidth="1"/>
    <col min="7434" max="7434" width="8.85546875" style="31"/>
    <col min="7435" max="7435" width="13.7109375" style="31" customWidth="1"/>
    <col min="7436" max="7436" width="10.85546875" style="31" customWidth="1"/>
    <col min="7437" max="7681" width="8.85546875" style="31"/>
    <col min="7682" max="7682" width="13.7109375" style="31" customWidth="1"/>
    <col min="7683" max="7683" width="11" style="31" customWidth="1"/>
    <col min="7684" max="7684" width="14.28515625" style="31" customWidth="1"/>
    <col min="7685" max="7685" width="13.7109375" style="31" customWidth="1"/>
    <col min="7686" max="7686" width="10.85546875" style="31" customWidth="1"/>
    <col min="7687" max="7687" width="8.85546875" style="31"/>
    <col min="7688" max="7688" width="13.7109375" style="31" customWidth="1"/>
    <col min="7689" max="7689" width="10.85546875" style="31" customWidth="1"/>
    <col min="7690" max="7690" width="8.85546875" style="31"/>
    <col min="7691" max="7691" width="13.7109375" style="31" customWidth="1"/>
    <col min="7692" max="7692" width="10.85546875" style="31" customWidth="1"/>
    <col min="7693" max="7937" width="8.85546875" style="31"/>
    <col min="7938" max="7938" width="13.7109375" style="31" customWidth="1"/>
    <col min="7939" max="7939" width="11" style="31" customWidth="1"/>
    <col min="7940" max="7940" width="14.28515625" style="31" customWidth="1"/>
    <col min="7941" max="7941" width="13.7109375" style="31" customWidth="1"/>
    <col min="7942" max="7942" width="10.85546875" style="31" customWidth="1"/>
    <col min="7943" max="7943" width="8.85546875" style="31"/>
    <col min="7944" max="7944" width="13.7109375" style="31" customWidth="1"/>
    <col min="7945" max="7945" width="10.85546875" style="31" customWidth="1"/>
    <col min="7946" max="7946" width="8.85546875" style="31"/>
    <col min="7947" max="7947" width="13.7109375" style="31" customWidth="1"/>
    <col min="7948" max="7948" width="10.85546875" style="31" customWidth="1"/>
    <col min="7949" max="8193" width="8.85546875" style="31"/>
    <col min="8194" max="8194" width="13.7109375" style="31" customWidth="1"/>
    <col min="8195" max="8195" width="11" style="31" customWidth="1"/>
    <col min="8196" max="8196" width="14.28515625" style="31" customWidth="1"/>
    <col min="8197" max="8197" width="13.7109375" style="31" customWidth="1"/>
    <col min="8198" max="8198" width="10.85546875" style="31" customWidth="1"/>
    <col min="8199" max="8199" width="8.85546875" style="31"/>
    <col min="8200" max="8200" width="13.7109375" style="31" customWidth="1"/>
    <col min="8201" max="8201" width="10.85546875" style="31" customWidth="1"/>
    <col min="8202" max="8202" width="8.85546875" style="31"/>
    <col min="8203" max="8203" width="13.7109375" style="31" customWidth="1"/>
    <col min="8204" max="8204" width="10.85546875" style="31" customWidth="1"/>
    <col min="8205" max="8449" width="8.85546875" style="31"/>
    <col min="8450" max="8450" width="13.7109375" style="31" customWidth="1"/>
    <col min="8451" max="8451" width="11" style="31" customWidth="1"/>
    <col min="8452" max="8452" width="14.28515625" style="31" customWidth="1"/>
    <col min="8453" max="8453" width="13.7109375" style="31" customWidth="1"/>
    <col min="8454" max="8454" width="10.85546875" style="31" customWidth="1"/>
    <col min="8455" max="8455" width="8.85546875" style="31"/>
    <col min="8456" max="8456" width="13.7109375" style="31" customWidth="1"/>
    <col min="8457" max="8457" width="10.85546875" style="31" customWidth="1"/>
    <col min="8458" max="8458" width="8.85546875" style="31"/>
    <col min="8459" max="8459" width="13.7109375" style="31" customWidth="1"/>
    <col min="8460" max="8460" width="10.85546875" style="31" customWidth="1"/>
    <col min="8461" max="8705" width="8.85546875" style="31"/>
    <col min="8706" max="8706" width="13.7109375" style="31" customWidth="1"/>
    <col min="8707" max="8707" width="11" style="31" customWidth="1"/>
    <col min="8708" max="8708" width="14.28515625" style="31" customWidth="1"/>
    <col min="8709" max="8709" width="13.7109375" style="31" customWidth="1"/>
    <col min="8710" max="8710" width="10.85546875" style="31" customWidth="1"/>
    <col min="8711" max="8711" width="8.85546875" style="31"/>
    <col min="8712" max="8712" width="13.7109375" style="31" customWidth="1"/>
    <col min="8713" max="8713" width="10.85546875" style="31" customWidth="1"/>
    <col min="8714" max="8714" width="8.85546875" style="31"/>
    <col min="8715" max="8715" width="13.7109375" style="31" customWidth="1"/>
    <col min="8716" max="8716" width="10.85546875" style="31" customWidth="1"/>
    <col min="8717" max="8961" width="8.85546875" style="31"/>
    <col min="8962" max="8962" width="13.7109375" style="31" customWidth="1"/>
    <col min="8963" max="8963" width="11" style="31" customWidth="1"/>
    <col min="8964" max="8964" width="14.28515625" style="31" customWidth="1"/>
    <col min="8965" max="8965" width="13.7109375" style="31" customWidth="1"/>
    <col min="8966" max="8966" width="10.85546875" style="31" customWidth="1"/>
    <col min="8967" max="8967" width="8.85546875" style="31"/>
    <col min="8968" max="8968" width="13.7109375" style="31" customWidth="1"/>
    <col min="8969" max="8969" width="10.85546875" style="31" customWidth="1"/>
    <col min="8970" max="8970" width="8.85546875" style="31"/>
    <col min="8971" max="8971" width="13.7109375" style="31" customWidth="1"/>
    <col min="8972" max="8972" width="10.85546875" style="31" customWidth="1"/>
    <col min="8973" max="9217" width="8.85546875" style="31"/>
    <col min="9218" max="9218" width="13.7109375" style="31" customWidth="1"/>
    <col min="9219" max="9219" width="11" style="31" customWidth="1"/>
    <col min="9220" max="9220" width="14.28515625" style="31" customWidth="1"/>
    <col min="9221" max="9221" width="13.7109375" style="31" customWidth="1"/>
    <col min="9222" max="9222" width="10.85546875" style="31" customWidth="1"/>
    <col min="9223" max="9223" width="8.85546875" style="31"/>
    <col min="9224" max="9224" width="13.7109375" style="31" customWidth="1"/>
    <col min="9225" max="9225" width="10.85546875" style="31" customWidth="1"/>
    <col min="9226" max="9226" width="8.85546875" style="31"/>
    <col min="9227" max="9227" width="13.7109375" style="31" customWidth="1"/>
    <col min="9228" max="9228" width="10.85546875" style="31" customWidth="1"/>
    <col min="9229" max="9473" width="8.85546875" style="31"/>
    <col min="9474" max="9474" width="13.7109375" style="31" customWidth="1"/>
    <col min="9475" max="9475" width="11" style="31" customWidth="1"/>
    <col min="9476" max="9476" width="14.28515625" style="31" customWidth="1"/>
    <col min="9477" max="9477" width="13.7109375" style="31" customWidth="1"/>
    <col min="9478" max="9478" width="10.85546875" style="31" customWidth="1"/>
    <col min="9479" max="9479" width="8.85546875" style="31"/>
    <col min="9480" max="9480" width="13.7109375" style="31" customWidth="1"/>
    <col min="9481" max="9481" width="10.85546875" style="31" customWidth="1"/>
    <col min="9482" max="9482" width="8.85546875" style="31"/>
    <col min="9483" max="9483" width="13.7109375" style="31" customWidth="1"/>
    <col min="9484" max="9484" width="10.85546875" style="31" customWidth="1"/>
    <col min="9485" max="9729" width="8.85546875" style="31"/>
    <col min="9730" max="9730" width="13.7109375" style="31" customWidth="1"/>
    <col min="9731" max="9731" width="11" style="31" customWidth="1"/>
    <col min="9732" max="9732" width="14.28515625" style="31" customWidth="1"/>
    <col min="9733" max="9733" width="13.7109375" style="31" customWidth="1"/>
    <col min="9734" max="9734" width="10.85546875" style="31" customWidth="1"/>
    <col min="9735" max="9735" width="8.85546875" style="31"/>
    <col min="9736" max="9736" width="13.7109375" style="31" customWidth="1"/>
    <col min="9737" max="9737" width="10.85546875" style="31" customWidth="1"/>
    <col min="9738" max="9738" width="8.85546875" style="31"/>
    <col min="9739" max="9739" width="13.7109375" style="31" customWidth="1"/>
    <col min="9740" max="9740" width="10.85546875" style="31" customWidth="1"/>
    <col min="9741" max="9985" width="8.85546875" style="31"/>
    <col min="9986" max="9986" width="13.7109375" style="31" customWidth="1"/>
    <col min="9987" max="9987" width="11" style="31" customWidth="1"/>
    <col min="9988" max="9988" width="14.28515625" style="31" customWidth="1"/>
    <col min="9989" max="9989" width="13.7109375" style="31" customWidth="1"/>
    <col min="9990" max="9990" width="10.85546875" style="31" customWidth="1"/>
    <col min="9991" max="9991" width="8.85546875" style="31"/>
    <col min="9992" max="9992" width="13.7109375" style="31" customWidth="1"/>
    <col min="9993" max="9993" width="10.85546875" style="31" customWidth="1"/>
    <col min="9994" max="9994" width="8.85546875" style="31"/>
    <col min="9995" max="9995" width="13.7109375" style="31" customWidth="1"/>
    <col min="9996" max="9996" width="10.85546875" style="31" customWidth="1"/>
    <col min="9997" max="10241" width="8.85546875" style="31"/>
    <col min="10242" max="10242" width="13.7109375" style="31" customWidth="1"/>
    <col min="10243" max="10243" width="11" style="31" customWidth="1"/>
    <col min="10244" max="10244" width="14.28515625" style="31" customWidth="1"/>
    <col min="10245" max="10245" width="13.7109375" style="31" customWidth="1"/>
    <col min="10246" max="10246" width="10.85546875" style="31" customWidth="1"/>
    <col min="10247" max="10247" width="8.85546875" style="31"/>
    <col min="10248" max="10248" width="13.7109375" style="31" customWidth="1"/>
    <col min="10249" max="10249" width="10.85546875" style="31" customWidth="1"/>
    <col min="10250" max="10250" width="8.85546875" style="31"/>
    <col min="10251" max="10251" width="13.7109375" style="31" customWidth="1"/>
    <col min="10252" max="10252" width="10.85546875" style="31" customWidth="1"/>
    <col min="10253" max="10497" width="8.85546875" style="31"/>
    <col min="10498" max="10498" width="13.7109375" style="31" customWidth="1"/>
    <col min="10499" max="10499" width="11" style="31" customWidth="1"/>
    <col min="10500" max="10500" width="14.28515625" style="31" customWidth="1"/>
    <col min="10501" max="10501" width="13.7109375" style="31" customWidth="1"/>
    <col min="10502" max="10502" width="10.85546875" style="31" customWidth="1"/>
    <col min="10503" max="10503" width="8.85546875" style="31"/>
    <col min="10504" max="10504" width="13.7109375" style="31" customWidth="1"/>
    <col min="10505" max="10505" width="10.85546875" style="31" customWidth="1"/>
    <col min="10506" max="10506" width="8.85546875" style="31"/>
    <col min="10507" max="10507" width="13.7109375" style="31" customWidth="1"/>
    <col min="10508" max="10508" width="10.85546875" style="31" customWidth="1"/>
    <col min="10509" max="10753" width="8.85546875" style="31"/>
    <col min="10754" max="10754" width="13.7109375" style="31" customWidth="1"/>
    <col min="10755" max="10755" width="11" style="31" customWidth="1"/>
    <col min="10756" max="10756" width="14.28515625" style="31" customWidth="1"/>
    <col min="10757" max="10757" width="13.7109375" style="31" customWidth="1"/>
    <col min="10758" max="10758" width="10.85546875" style="31" customWidth="1"/>
    <col min="10759" max="10759" width="8.85546875" style="31"/>
    <col min="10760" max="10760" width="13.7109375" style="31" customWidth="1"/>
    <col min="10761" max="10761" width="10.85546875" style="31" customWidth="1"/>
    <col min="10762" max="10762" width="8.85546875" style="31"/>
    <col min="10763" max="10763" width="13.7109375" style="31" customWidth="1"/>
    <col min="10764" max="10764" width="10.85546875" style="31" customWidth="1"/>
    <col min="10765" max="11009" width="8.85546875" style="31"/>
    <col min="11010" max="11010" width="13.7109375" style="31" customWidth="1"/>
    <col min="11011" max="11011" width="11" style="31" customWidth="1"/>
    <col min="11012" max="11012" width="14.28515625" style="31" customWidth="1"/>
    <col min="11013" max="11013" width="13.7109375" style="31" customWidth="1"/>
    <col min="11014" max="11014" width="10.85546875" style="31" customWidth="1"/>
    <col min="11015" max="11015" width="8.85546875" style="31"/>
    <col min="11016" max="11016" width="13.7109375" style="31" customWidth="1"/>
    <col min="11017" max="11017" width="10.85546875" style="31" customWidth="1"/>
    <col min="11018" max="11018" width="8.85546875" style="31"/>
    <col min="11019" max="11019" width="13.7109375" style="31" customWidth="1"/>
    <col min="11020" max="11020" width="10.85546875" style="31" customWidth="1"/>
    <col min="11021" max="11265" width="8.85546875" style="31"/>
    <col min="11266" max="11266" width="13.7109375" style="31" customWidth="1"/>
    <col min="11267" max="11267" width="11" style="31" customWidth="1"/>
    <col min="11268" max="11268" width="14.28515625" style="31" customWidth="1"/>
    <col min="11269" max="11269" width="13.7109375" style="31" customWidth="1"/>
    <col min="11270" max="11270" width="10.85546875" style="31" customWidth="1"/>
    <col min="11271" max="11271" width="8.85546875" style="31"/>
    <col min="11272" max="11272" width="13.7109375" style="31" customWidth="1"/>
    <col min="11273" max="11273" width="10.85546875" style="31" customWidth="1"/>
    <col min="11274" max="11274" width="8.85546875" style="31"/>
    <col min="11275" max="11275" width="13.7109375" style="31" customWidth="1"/>
    <col min="11276" max="11276" width="10.85546875" style="31" customWidth="1"/>
    <col min="11277" max="11521" width="8.85546875" style="31"/>
    <col min="11522" max="11522" width="13.7109375" style="31" customWidth="1"/>
    <col min="11523" max="11523" width="11" style="31" customWidth="1"/>
    <col min="11524" max="11524" width="14.28515625" style="31" customWidth="1"/>
    <col min="11525" max="11525" width="13.7109375" style="31" customWidth="1"/>
    <col min="11526" max="11526" width="10.85546875" style="31" customWidth="1"/>
    <col min="11527" max="11527" width="8.85546875" style="31"/>
    <col min="11528" max="11528" width="13.7109375" style="31" customWidth="1"/>
    <col min="11529" max="11529" width="10.85546875" style="31" customWidth="1"/>
    <col min="11530" max="11530" width="8.85546875" style="31"/>
    <col min="11531" max="11531" width="13.7109375" style="31" customWidth="1"/>
    <col min="11532" max="11532" width="10.85546875" style="31" customWidth="1"/>
    <col min="11533" max="11777" width="8.85546875" style="31"/>
    <col min="11778" max="11778" width="13.7109375" style="31" customWidth="1"/>
    <col min="11779" max="11779" width="11" style="31" customWidth="1"/>
    <col min="11780" max="11780" width="14.28515625" style="31" customWidth="1"/>
    <col min="11781" max="11781" width="13.7109375" style="31" customWidth="1"/>
    <col min="11782" max="11782" width="10.85546875" style="31" customWidth="1"/>
    <col min="11783" max="11783" width="8.85546875" style="31"/>
    <col min="11784" max="11784" width="13.7109375" style="31" customWidth="1"/>
    <col min="11785" max="11785" width="10.85546875" style="31" customWidth="1"/>
    <col min="11786" max="11786" width="8.85546875" style="31"/>
    <col min="11787" max="11787" width="13.7109375" style="31" customWidth="1"/>
    <col min="11788" max="11788" width="10.85546875" style="31" customWidth="1"/>
    <col min="11789" max="12033" width="8.85546875" style="31"/>
    <col min="12034" max="12034" width="13.7109375" style="31" customWidth="1"/>
    <col min="12035" max="12035" width="11" style="31" customWidth="1"/>
    <col min="12036" max="12036" width="14.28515625" style="31" customWidth="1"/>
    <col min="12037" max="12037" width="13.7109375" style="31" customWidth="1"/>
    <col min="12038" max="12038" width="10.85546875" style="31" customWidth="1"/>
    <col min="12039" max="12039" width="8.85546875" style="31"/>
    <col min="12040" max="12040" width="13.7109375" style="31" customWidth="1"/>
    <col min="12041" max="12041" width="10.85546875" style="31" customWidth="1"/>
    <col min="12042" max="12042" width="8.85546875" style="31"/>
    <col min="12043" max="12043" width="13.7109375" style="31" customWidth="1"/>
    <col min="12044" max="12044" width="10.85546875" style="31" customWidth="1"/>
    <col min="12045" max="12289" width="8.85546875" style="31"/>
    <col min="12290" max="12290" width="13.7109375" style="31" customWidth="1"/>
    <col min="12291" max="12291" width="11" style="31" customWidth="1"/>
    <col min="12292" max="12292" width="14.28515625" style="31" customWidth="1"/>
    <col min="12293" max="12293" width="13.7109375" style="31" customWidth="1"/>
    <col min="12294" max="12294" width="10.85546875" style="31" customWidth="1"/>
    <col min="12295" max="12295" width="8.85546875" style="31"/>
    <col min="12296" max="12296" width="13.7109375" style="31" customWidth="1"/>
    <col min="12297" max="12297" width="10.85546875" style="31" customWidth="1"/>
    <col min="12298" max="12298" width="8.85546875" style="31"/>
    <col min="12299" max="12299" width="13.7109375" style="31" customWidth="1"/>
    <col min="12300" max="12300" width="10.85546875" style="31" customWidth="1"/>
    <col min="12301" max="12545" width="8.85546875" style="31"/>
    <col min="12546" max="12546" width="13.7109375" style="31" customWidth="1"/>
    <col min="12547" max="12547" width="11" style="31" customWidth="1"/>
    <col min="12548" max="12548" width="14.28515625" style="31" customWidth="1"/>
    <col min="12549" max="12549" width="13.7109375" style="31" customWidth="1"/>
    <col min="12550" max="12550" width="10.85546875" style="31" customWidth="1"/>
    <col min="12551" max="12551" width="8.85546875" style="31"/>
    <col min="12552" max="12552" width="13.7109375" style="31" customWidth="1"/>
    <col min="12553" max="12553" width="10.85546875" style="31" customWidth="1"/>
    <col min="12554" max="12554" width="8.85546875" style="31"/>
    <col min="12555" max="12555" width="13.7109375" style="31" customWidth="1"/>
    <col min="12556" max="12556" width="10.85546875" style="31" customWidth="1"/>
    <col min="12557" max="12801" width="8.85546875" style="31"/>
    <col min="12802" max="12802" width="13.7109375" style="31" customWidth="1"/>
    <col min="12803" max="12803" width="11" style="31" customWidth="1"/>
    <col min="12804" max="12804" width="14.28515625" style="31" customWidth="1"/>
    <col min="12805" max="12805" width="13.7109375" style="31" customWidth="1"/>
    <col min="12806" max="12806" width="10.85546875" style="31" customWidth="1"/>
    <col min="12807" max="12807" width="8.85546875" style="31"/>
    <col min="12808" max="12808" width="13.7109375" style="31" customWidth="1"/>
    <col min="12809" max="12809" width="10.85546875" style="31" customWidth="1"/>
    <col min="12810" max="12810" width="8.85546875" style="31"/>
    <col min="12811" max="12811" width="13.7109375" style="31" customWidth="1"/>
    <col min="12812" max="12812" width="10.85546875" style="31" customWidth="1"/>
    <col min="12813" max="13057" width="8.85546875" style="31"/>
    <col min="13058" max="13058" width="13.7109375" style="31" customWidth="1"/>
    <col min="13059" max="13059" width="11" style="31" customWidth="1"/>
    <col min="13060" max="13060" width="14.28515625" style="31" customWidth="1"/>
    <col min="13061" max="13061" width="13.7109375" style="31" customWidth="1"/>
    <col min="13062" max="13062" width="10.85546875" style="31" customWidth="1"/>
    <col min="13063" max="13063" width="8.85546875" style="31"/>
    <col min="13064" max="13064" width="13.7109375" style="31" customWidth="1"/>
    <col min="13065" max="13065" width="10.85546875" style="31" customWidth="1"/>
    <col min="13066" max="13066" width="8.85546875" style="31"/>
    <col min="13067" max="13067" width="13.7109375" style="31" customWidth="1"/>
    <col min="13068" max="13068" width="10.85546875" style="31" customWidth="1"/>
    <col min="13069" max="13313" width="8.85546875" style="31"/>
    <col min="13314" max="13314" width="13.7109375" style="31" customWidth="1"/>
    <col min="13315" max="13315" width="11" style="31" customWidth="1"/>
    <col min="13316" max="13316" width="14.28515625" style="31" customWidth="1"/>
    <col min="13317" max="13317" width="13.7109375" style="31" customWidth="1"/>
    <col min="13318" max="13318" width="10.85546875" style="31" customWidth="1"/>
    <col min="13319" max="13319" width="8.85546875" style="31"/>
    <col min="13320" max="13320" width="13.7109375" style="31" customWidth="1"/>
    <col min="13321" max="13321" width="10.85546875" style="31" customWidth="1"/>
    <col min="13322" max="13322" width="8.85546875" style="31"/>
    <col min="13323" max="13323" width="13.7109375" style="31" customWidth="1"/>
    <col min="13324" max="13324" width="10.85546875" style="31" customWidth="1"/>
    <col min="13325" max="13569" width="8.85546875" style="31"/>
    <col min="13570" max="13570" width="13.7109375" style="31" customWidth="1"/>
    <col min="13571" max="13571" width="11" style="31" customWidth="1"/>
    <col min="13572" max="13572" width="14.28515625" style="31" customWidth="1"/>
    <col min="13573" max="13573" width="13.7109375" style="31" customWidth="1"/>
    <col min="13574" max="13574" width="10.85546875" style="31" customWidth="1"/>
    <col min="13575" max="13575" width="8.85546875" style="31"/>
    <col min="13576" max="13576" width="13.7109375" style="31" customWidth="1"/>
    <col min="13577" max="13577" width="10.85546875" style="31" customWidth="1"/>
    <col min="13578" max="13578" width="8.85546875" style="31"/>
    <col min="13579" max="13579" width="13.7109375" style="31" customWidth="1"/>
    <col min="13580" max="13580" width="10.85546875" style="31" customWidth="1"/>
    <col min="13581" max="13825" width="8.85546875" style="31"/>
    <col min="13826" max="13826" width="13.7109375" style="31" customWidth="1"/>
    <col min="13827" max="13827" width="11" style="31" customWidth="1"/>
    <col min="13828" max="13828" width="14.28515625" style="31" customWidth="1"/>
    <col min="13829" max="13829" width="13.7109375" style="31" customWidth="1"/>
    <col min="13830" max="13830" width="10.85546875" style="31" customWidth="1"/>
    <col min="13831" max="13831" width="8.85546875" style="31"/>
    <col min="13832" max="13832" width="13.7109375" style="31" customWidth="1"/>
    <col min="13833" max="13833" width="10.85546875" style="31" customWidth="1"/>
    <col min="13834" max="13834" width="8.85546875" style="31"/>
    <col min="13835" max="13835" width="13.7109375" style="31" customWidth="1"/>
    <col min="13836" max="13836" width="10.85546875" style="31" customWidth="1"/>
    <col min="13837" max="14081" width="8.85546875" style="31"/>
    <col min="14082" max="14082" width="13.7109375" style="31" customWidth="1"/>
    <col min="14083" max="14083" width="11" style="31" customWidth="1"/>
    <col min="14084" max="14084" width="14.28515625" style="31" customWidth="1"/>
    <col min="14085" max="14085" width="13.7109375" style="31" customWidth="1"/>
    <col min="14086" max="14086" width="10.85546875" style="31" customWidth="1"/>
    <col min="14087" max="14087" width="8.85546875" style="31"/>
    <col min="14088" max="14088" width="13.7109375" style="31" customWidth="1"/>
    <col min="14089" max="14089" width="10.85546875" style="31" customWidth="1"/>
    <col min="14090" max="14090" width="8.85546875" style="31"/>
    <col min="14091" max="14091" width="13.7109375" style="31" customWidth="1"/>
    <col min="14092" max="14092" width="10.85546875" style="31" customWidth="1"/>
    <col min="14093" max="14337" width="8.85546875" style="31"/>
    <col min="14338" max="14338" width="13.7109375" style="31" customWidth="1"/>
    <col min="14339" max="14339" width="11" style="31" customWidth="1"/>
    <col min="14340" max="14340" width="14.28515625" style="31" customWidth="1"/>
    <col min="14341" max="14341" width="13.7109375" style="31" customWidth="1"/>
    <col min="14342" max="14342" width="10.85546875" style="31" customWidth="1"/>
    <col min="14343" max="14343" width="8.85546875" style="31"/>
    <col min="14344" max="14344" width="13.7109375" style="31" customWidth="1"/>
    <col min="14345" max="14345" width="10.85546875" style="31" customWidth="1"/>
    <col min="14346" max="14346" width="8.85546875" style="31"/>
    <col min="14347" max="14347" width="13.7109375" style="31" customWidth="1"/>
    <col min="14348" max="14348" width="10.85546875" style="31" customWidth="1"/>
    <col min="14349" max="14593" width="8.85546875" style="31"/>
    <col min="14594" max="14594" width="13.7109375" style="31" customWidth="1"/>
    <col min="14595" max="14595" width="11" style="31" customWidth="1"/>
    <col min="14596" max="14596" width="14.28515625" style="31" customWidth="1"/>
    <col min="14597" max="14597" width="13.7109375" style="31" customWidth="1"/>
    <col min="14598" max="14598" width="10.85546875" style="31" customWidth="1"/>
    <col min="14599" max="14599" width="8.85546875" style="31"/>
    <col min="14600" max="14600" width="13.7109375" style="31" customWidth="1"/>
    <col min="14601" max="14601" width="10.85546875" style="31" customWidth="1"/>
    <col min="14602" max="14602" width="8.85546875" style="31"/>
    <col min="14603" max="14603" width="13.7109375" style="31" customWidth="1"/>
    <col min="14604" max="14604" width="10.85546875" style="31" customWidth="1"/>
    <col min="14605" max="14849" width="8.85546875" style="31"/>
    <col min="14850" max="14850" width="13.7109375" style="31" customWidth="1"/>
    <col min="14851" max="14851" width="11" style="31" customWidth="1"/>
    <col min="14852" max="14852" width="14.28515625" style="31" customWidth="1"/>
    <col min="14853" max="14853" width="13.7109375" style="31" customWidth="1"/>
    <col min="14854" max="14854" width="10.85546875" style="31" customWidth="1"/>
    <col min="14855" max="14855" width="8.85546875" style="31"/>
    <col min="14856" max="14856" width="13.7109375" style="31" customWidth="1"/>
    <col min="14857" max="14857" width="10.85546875" style="31" customWidth="1"/>
    <col min="14858" max="14858" width="8.85546875" style="31"/>
    <col min="14859" max="14859" width="13.7109375" style="31" customWidth="1"/>
    <col min="14860" max="14860" width="10.85546875" style="31" customWidth="1"/>
    <col min="14861" max="15105" width="8.85546875" style="31"/>
    <col min="15106" max="15106" width="13.7109375" style="31" customWidth="1"/>
    <col min="15107" max="15107" width="11" style="31" customWidth="1"/>
    <col min="15108" max="15108" width="14.28515625" style="31" customWidth="1"/>
    <col min="15109" max="15109" width="13.7109375" style="31" customWidth="1"/>
    <col min="15110" max="15110" width="10.85546875" style="31" customWidth="1"/>
    <col min="15111" max="15111" width="8.85546875" style="31"/>
    <col min="15112" max="15112" width="13.7109375" style="31" customWidth="1"/>
    <col min="15113" max="15113" width="10.85546875" style="31" customWidth="1"/>
    <col min="15114" max="15114" width="8.85546875" style="31"/>
    <col min="15115" max="15115" width="13.7109375" style="31" customWidth="1"/>
    <col min="15116" max="15116" width="10.85546875" style="31" customWidth="1"/>
    <col min="15117" max="15361" width="8.85546875" style="31"/>
    <col min="15362" max="15362" width="13.7109375" style="31" customWidth="1"/>
    <col min="15363" max="15363" width="11" style="31" customWidth="1"/>
    <col min="15364" max="15364" width="14.28515625" style="31" customWidth="1"/>
    <col min="15365" max="15365" width="13.7109375" style="31" customWidth="1"/>
    <col min="15366" max="15366" width="10.85546875" style="31" customWidth="1"/>
    <col min="15367" max="15367" width="8.85546875" style="31"/>
    <col min="15368" max="15368" width="13.7109375" style="31" customWidth="1"/>
    <col min="15369" max="15369" width="10.85546875" style="31" customWidth="1"/>
    <col min="15370" max="15370" width="8.85546875" style="31"/>
    <col min="15371" max="15371" width="13.7109375" style="31" customWidth="1"/>
    <col min="15372" max="15372" width="10.85546875" style="31" customWidth="1"/>
    <col min="15373" max="15617" width="8.85546875" style="31"/>
    <col min="15618" max="15618" width="13.7109375" style="31" customWidth="1"/>
    <col min="15619" max="15619" width="11" style="31" customWidth="1"/>
    <col min="15620" max="15620" width="14.28515625" style="31" customWidth="1"/>
    <col min="15621" max="15621" width="13.7109375" style="31" customWidth="1"/>
    <col min="15622" max="15622" width="10.85546875" style="31" customWidth="1"/>
    <col min="15623" max="15623" width="8.85546875" style="31"/>
    <col min="15624" max="15624" width="13.7109375" style="31" customWidth="1"/>
    <col min="15625" max="15625" width="10.85546875" style="31" customWidth="1"/>
    <col min="15626" max="15626" width="8.85546875" style="31"/>
    <col min="15627" max="15627" width="13.7109375" style="31" customWidth="1"/>
    <col min="15628" max="15628" width="10.85546875" style="31" customWidth="1"/>
    <col min="15629" max="15873" width="8.85546875" style="31"/>
    <col min="15874" max="15874" width="13.7109375" style="31" customWidth="1"/>
    <col min="15875" max="15875" width="11" style="31" customWidth="1"/>
    <col min="15876" max="15876" width="14.28515625" style="31" customWidth="1"/>
    <col min="15877" max="15877" width="13.7109375" style="31" customWidth="1"/>
    <col min="15878" max="15878" width="10.85546875" style="31" customWidth="1"/>
    <col min="15879" max="15879" width="8.85546875" style="31"/>
    <col min="15880" max="15880" width="13.7109375" style="31" customWidth="1"/>
    <col min="15881" max="15881" width="10.85546875" style="31" customWidth="1"/>
    <col min="15882" max="15882" width="8.85546875" style="31"/>
    <col min="15883" max="15883" width="13.7109375" style="31" customWidth="1"/>
    <col min="15884" max="15884" width="10.85546875" style="31" customWidth="1"/>
    <col min="15885" max="16129" width="8.85546875" style="31"/>
    <col min="16130" max="16130" width="13.7109375" style="31" customWidth="1"/>
    <col min="16131" max="16131" width="11" style="31" customWidth="1"/>
    <col min="16132" max="16132" width="14.28515625" style="31" customWidth="1"/>
    <col min="16133" max="16133" width="13.7109375" style="31" customWidth="1"/>
    <col min="16134" max="16134" width="10.85546875" style="31" customWidth="1"/>
    <col min="16135" max="16135" width="8.85546875" style="31"/>
    <col min="16136" max="16136" width="13.7109375" style="31" customWidth="1"/>
    <col min="16137" max="16137" width="10.85546875" style="31" customWidth="1"/>
    <col min="16138" max="16138" width="8.85546875" style="31"/>
    <col min="16139" max="16139" width="13.7109375" style="31" customWidth="1"/>
    <col min="16140" max="16140" width="10.85546875" style="31" customWidth="1"/>
    <col min="16141" max="16384" width="8.85546875" style="31"/>
  </cols>
  <sheetData>
    <row r="1" spans="1:12" x14ac:dyDescent="0.25">
      <c r="A1" s="24" t="s">
        <v>34</v>
      </c>
    </row>
    <row r="3" spans="1:12" x14ac:dyDescent="0.25">
      <c r="A3" s="282" t="s">
        <v>79</v>
      </c>
      <c r="B3" s="282"/>
      <c r="C3" s="282"/>
      <c r="D3" s="283" t="s">
        <v>80</v>
      </c>
      <c r="E3" s="284"/>
      <c r="F3" s="285"/>
      <c r="G3" s="283" t="s">
        <v>81</v>
      </c>
      <c r="H3" s="284"/>
      <c r="I3" s="284"/>
      <c r="J3" s="283" t="s">
        <v>119</v>
      </c>
      <c r="K3" s="284"/>
      <c r="L3" s="284"/>
    </row>
    <row r="4" spans="1:12" x14ac:dyDescent="0.25">
      <c r="A4" s="70" t="s">
        <v>2</v>
      </c>
      <c r="B4" s="71" t="s">
        <v>3</v>
      </c>
      <c r="C4" s="70" t="s">
        <v>4</v>
      </c>
      <c r="D4" s="72" t="s">
        <v>2</v>
      </c>
      <c r="E4" s="71" t="s">
        <v>3</v>
      </c>
      <c r="F4" s="122" t="s">
        <v>4</v>
      </c>
      <c r="G4" s="72" t="s">
        <v>2</v>
      </c>
      <c r="H4" s="71" t="s">
        <v>3</v>
      </c>
      <c r="I4" s="70" t="s">
        <v>4</v>
      </c>
      <c r="J4" s="72" t="s">
        <v>2</v>
      </c>
      <c r="K4" s="71" t="s">
        <v>3</v>
      </c>
      <c r="L4" s="70" t="s">
        <v>4</v>
      </c>
    </row>
    <row r="5" spans="1:12" x14ac:dyDescent="0.25">
      <c r="A5" s="132"/>
      <c r="C5" s="132" t="s">
        <v>54</v>
      </c>
      <c r="D5" s="133"/>
      <c r="E5" s="123"/>
      <c r="F5" s="134" t="s">
        <v>54</v>
      </c>
      <c r="G5" s="133"/>
      <c r="H5" s="123"/>
      <c r="I5" s="134" t="s">
        <v>54</v>
      </c>
      <c r="J5" s="133"/>
      <c r="K5" s="123"/>
      <c r="L5" s="134" t="s">
        <v>54</v>
      </c>
    </row>
    <row r="6" spans="1:12" x14ac:dyDescent="0.25">
      <c r="A6" s="132"/>
      <c r="D6" s="133"/>
      <c r="E6" s="123"/>
      <c r="F6" s="134"/>
      <c r="G6" s="133"/>
      <c r="H6" s="123"/>
      <c r="I6" s="134"/>
      <c r="J6" s="133"/>
      <c r="K6" s="123"/>
      <c r="L6" s="134"/>
    </row>
    <row r="7" spans="1:12" x14ac:dyDescent="0.25">
      <c r="A7" s="132">
        <v>1</v>
      </c>
      <c r="B7" s="73" t="s">
        <v>5</v>
      </c>
      <c r="C7" s="74">
        <v>279.54000000000002</v>
      </c>
      <c r="D7" s="133">
        <v>1</v>
      </c>
      <c r="E7" s="124" t="s">
        <v>183</v>
      </c>
      <c r="F7" s="74">
        <v>126.75</v>
      </c>
      <c r="G7" s="133">
        <v>1</v>
      </c>
      <c r="H7" s="124" t="s">
        <v>7</v>
      </c>
      <c r="I7" s="74">
        <v>139.5</v>
      </c>
      <c r="J7" s="133">
        <v>1</v>
      </c>
      <c r="K7" s="123" t="s">
        <v>7</v>
      </c>
      <c r="L7" s="74">
        <v>456.55500000000001</v>
      </c>
    </row>
    <row r="8" spans="1:12" x14ac:dyDescent="0.25">
      <c r="A8" s="132">
        <v>2</v>
      </c>
      <c r="B8" s="73" t="s">
        <v>7</v>
      </c>
      <c r="C8" s="74">
        <v>188</v>
      </c>
      <c r="D8" s="133">
        <v>2</v>
      </c>
      <c r="E8" s="124" t="s">
        <v>7</v>
      </c>
      <c r="F8" s="74">
        <v>120.5</v>
      </c>
      <c r="G8" s="133">
        <v>2</v>
      </c>
      <c r="H8" s="124" t="s">
        <v>13</v>
      </c>
      <c r="I8" s="74">
        <v>93.9</v>
      </c>
      <c r="J8" s="133">
        <v>2</v>
      </c>
      <c r="K8" s="123" t="s">
        <v>5</v>
      </c>
      <c r="L8" s="74">
        <v>326.77300000000002</v>
      </c>
    </row>
    <row r="9" spans="1:12" x14ac:dyDescent="0.25">
      <c r="A9" s="132">
        <v>3</v>
      </c>
      <c r="B9" s="73" t="s">
        <v>183</v>
      </c>
      <c r="C9" s="74">
        <v>67.5</v>
      </c>
      <c r="D9" s="133">
        <v>3</v>
      </c>
      <c r="E9" s="124" t="s">
        <v>13</v>
      </c>
      <c r="F9" s="74">
        <v>81.555000000000007</v>
      </c>
      <c r="G9" s="133">
        <v>3</v>
      </c>
      <c r="H9" s="124" t="s">
        <v>118</v>
      </c>
      <c r="I9" s="74">
        <v>39.299999999999997</v>
      </c>
      <c r="J9" s="133">
        <v>3</v>
      </c>
      <c r="K9" s="123" t="s">
        <v>183</v>
      </c>
      <c r="L9" s="74">
        <v>280.06</v>
      </c>
    </row>
    <row r="10" spans="1:12" x14ac:dyDescent="0.25">
      <c r="A10" s="132">
        <v>4</v>
      </c>
      <c r="B10" s="73" t="s">
        <v>8</v>
      </c>
      <c r="C10" s="74">
        <v>54</v>
      </c>
      <c r="D10" s="133">
        <v>4</v>
      </c>
      <c r="E10" s="124" t="s">
        <v>15</v>
      </c>
      <c r="F10" s="74">
        <v>38.5</v>
      </c>
      <c r="G10" s="133">
        <v>4</v>
      </c>
      <c r="H10" s="124" t="s">
        <v>120</v>
      </c>
      <c r="I10" s="74">
        <v>34.5</v>
      </c>
      <c r="J10" s="133">
        <v>4</v>
      </c>
      <c r="K10" s="123" t="s">
        <v>13</v>
      </c>
      <c r="L10" s="74">
        <v>213.905</v>
      </c>
    </row>
    <row r="11" spans="1:12" x14ac:dyDescent="0.25">
      <c r="A11" s="132">
        <v>5</v>
      </c>
      <c r="B11" s="73" t="s">
        <v>9</v>
      </c>
      <c r="C11" s="74">
        <v>29.7</v>
      </c>
      <c r="D11" s="133">
        <v>5</v>
      </c>
      <c r="E11" s="124" t="s">
        <v>5</v>
      </c>
      <c r="F11" s="74">
        <v>32.264000000000003</v>
      </c>
      <c r="G11" s="133">
        <v>5</v>
      </c>
      <c r="H11" s="124" t="s">
        <v>121</v>
      </c>
      <c r="I11" s="74">
        <v>19.75</v>
      </c>
      <c r="J11" s="133">
        <v>5</v>
      </c>
      <c r="K11" s="123" t="s">
        <v>8</v>
      </c>
      <c r="L11" s="74">
        <v>76.578000000000003</v>
      </c>
    </row>
    <row r="12" spans="1:12" x14ac:dyDescent="0.25">
      <c r="A12" s="132">
        <v>6</v>
      </c>
      <c r="B12" s="135" t="s">
        <v>13</v>
      </c>
      <c r="C12" s="74">
        <v>17.600000000000001</v>
      </c>
      <c r="D12" s="133">
        <v>6</v>
      </c>
      <c r="E12" s="124" t="s">
        <v>125</v>
      </c>
      <c r="F12" s="74">
        <v>23.1</v>
      </c>
      <c r="G12" s="133">
        <v>6</v>
      </c>
      <c r="H12" s="124" t="s">
        <v>126</v>
      </c>
      <c r="I12" s="74">
        <v>12.8</v>
      </c>
      <c r="J12" s="133">
        <v>6</v>
      </c>
      <c r="K12" s="123" t="s">
        <v>15</v>
      </c>
      <c r="L12" s="74">
        <v>66.778000000000006</v>
      </c>
    </row>
    <row r="13" spans="1:12" x14ac:dyDescent="0.25">
      <c r="A13" s="132">
        <v>7</v>
      </c>
      <c r="B13" s="73" t="s">
        <v>6</v>
      </c>
      <c r="C13" s="74">
        <v>15</v>
      </c>
      <c r="D13" s="133">
        <v>7</v>
      </c>
      <c r="E13" s="124" t="s">
        <v>14</v>
      </c>
      <c r="F13" s="74">
        <v>18.899999999999999</v>
      </c>
      <c r="G13" s="133">
        <v>7</v>
      </c>
      <c r="H13" s="124" t="s">
        <v>123</v>
      </c>
      <c r="I13" s="74">
        <v>10.4</v>
      </c>
      <c r="J13" s="133">
        <v>7</v>
      </c>
      <c r="K13" s="123" t="s">
        <v>118</v>
      </c>
      <c r="L13" s="74">
        <v>55.55</v>
      </c>
    </row>
    <row r="14" spans="1:12" x14ac:dyDescent="0.25">
      <c r="A14" s="132">
        <v>8</v>
      </c>
      <c r="B14" s="73" t="s">
        <v>17</v>
      </c>
      <c r="C14" s="74">
        <v>10.8</v>
      </c>
      <c r="D14" s="133">
        <v>8</v>
      </c>
      <c r="E14" s="124" t="s">
        <v>32</v>
      </c>
      <c r="F14" s="74">
        <v>18.100000000000001</v>
      </c>
      <c r="G14" s="133">
        <v>8</v>
      </c>
      <c r="H14" s="124" t="s">
        <v>124</v>
      </c>
      <c r="I14" s="74">
        <v>10.14</v>
      </c>
      <c r="J14" s="133">
        <v>8</v>
      </c>
      <c r="K14" s="123" t="s">
        <v>9</v>
      </c>
      <c r="L14" s="74">
        <v>47.078000000000003</v>
      </c>
    </row>
    <row r="15" spans="1:12" x14ac:dyDescent="0.25">
      <c r="A15" s="132">
        <v>9</v>
      </c>
      <c r="B15" s="73" t="s">
        <v>14</v>
      </c>
      <c r="C15" s="74">
        <v>10.8</v>
      </c>
      <c r="D15" s="133">
        <v>9</v>
      </c>
      <c r="E15" s="124" t="s">
        <v>21</v>
      </c>
      <c r="F15" s="74">
        <v>15.5</v>
      </c>
      <c r="G15" s="133">
        <v>9</v>
      </c>
      <c r="H15" s="124" t="s">
        <v>8</v>
      </c>
      <c r="I15" s="74">
        <v>8.1300000000000008</v>
      </c>
      <c r="J15" s="133">
        <v>9</v>
      </c>
      <c r="K15" s="123" t="s">
        <v>120</v>
      </c>
      <c r="L15" s="74">
        <v>38.655999999999999</v>
      </c>
    </row>
    <row r="16" spans="1:12" x14ac:dyDescent="0.25">
      <c r="A16" s="134">
        <v>10</v>
      </c>
      <c r="B16" s="75" t="s">
        <v>20</v>
      </c>
      <c r="C16" s="76">
        <v>10.7</v>
      </c>
      <c r="D16" s="133">
        <v>10</v>
      </c>
      <c r="E16" s="124" t="s">
        <v>10</v>
      </c>
      <c r="F16" s="74">
        <v>14.95</v>
      </c>
      <c r="G16" s="133">
        <v>10</v>
      </c>
      <c r="H16" s="124" t="s">
        <v>6</v>
      </c>
      <c r="I16" s="74">
        <v>8.0500000000000007</v>
      </c>
      <c r="J16" s="133">
        <v>10</v>
      </c>
      <c r="K16" s="123" t="s">
        <v>14</v>
      </c>
      <c r="L16" s="74">
        <v>34.92</v>
      </c>
    </row>
    <row r="17" spans="1:12" x14ac:dyDescent="0.25">
      <c r="A17" s="134"/>
      <c r="B17" s="75"/>
      <c r="C17" s="77"/>
      <c r="D17" s="133"/>
      <c r="E17" s="124"/>
      <c r="F17" s="76"/>
      <c r="G17" s="134"/>
      <c r="H17" s="124"/>
      <c r="I17" s="77"/>
      <c r="J17" s="133"/>
      <c r="K17" s="123"/>
      <c r="L17" s="77"/>
    </row>
    <row r="18" spans="1:12" x14ac:dyDescent="0.25">
      <c r="A18" s="134"/>
      <c r="B18" s="78" t="s">
        <v>24</v>
      </c>
      <c r="C18" s="77">
        <f>C20-(SUM(C7:C16))</f>
        <v>180.18899999999996</v>
      </c>
      <c r="D18" s="133"/>
      <c r="E18" s="78" t="s">
        <v>24</v>
      </c>
      <c r="F18" s="76">
        <f>F20-(SUM(F7:F16))</f>
        <v>198.99799999999993</v>
      </c>
      <c r="G18" s="134"/>
      <c r="H18" s="78" t="s">
        <v>24</v>
      </c>
      <c r="I18" s="77">
        <f>I20-(SUM(I7:I16))</f>
        <v>80.166000000000054</v>
      </c>
      <c r="J18" s="133"/>
      <c r="K18" s="78" t="s">
        <v>24</v>
      </c>
      <c r="L18" s="77">
        <f>L20-(SUM(L7:L16))</f>
        <v>687.78</v>
      </c>
    </row>
    <row r="19" spans="1:12" x14ac:dyDescent="0.25">
      <c r="A19" s="134"/>
      <c r="B19" s="75"/>
      <c r="C19" s="77"/>
      <c r="D19" s="133"/>
      <c r="E19" s="124"/>
      <c r="F19" s="76"/>
      <c r="G19" s="134"/>
      <c r="H19" s="124"/>
      <c r="I19" s="77"/>
      <c r="J19" s="133"/>
      <c r="K19" s="123"/>
      <c r="L19" s="77"/>
    </row>
    <row r="20" spans="1:12" x14ac:dyDescent="0.25">
      <c r="A20" s="70"/>
      <c r="B20" s="79" t="s">
        <v>25</v>
      </c>
      <c r="C20" s="80">
        <v>863.82899999999995</v>
      </c>
      <c r="D20" s="72"/>
      <c r="E20" s="79" t="s">
        <v>25</v>
      </c>
      <c r="F20" s="125">
        <v>689.11699999999996</v>
      </c>
      <c r="G20" s="70"/>
      <c r="H20" s="79" t="s">
        <v>25</v>
      </c>
      <c r="I20" s="126">
        <v>456.63600000000002</v>
      </c>
      <c r="J20" s="72"/>
      <c r="K20" s="79" t="s">
        <v>25</v>
      </c>
      <c r="L20" s="228">
        <v>2284.6329999999998</v>
      </c>
    </row>
    <row r="22" spans="1:12" x14ac:dyDescent="0.25">
      <c r="A22" s="31" t="s">
        <v>129</v>
      </c>
    </row>
    <row r="24" spans="1:12" ht="27" customHeight="1" x14ac:dyDescent="0.25">
      <c r="A24" s="278" t="s">
        <v>26</v>
      </c>
      <c r="B24" s="278"/>
      <c r="C24" s="278"/>
      <c r="D24" s="278"/>
      <c r="E24" s="278"/>
      <c r="F24" s="278"/>
      <c r="G24" s="278"/>
      <c r="H24" s="278"/>
      <c r="I24" s="278"/>
      <c r="J24" s="278"/>
      <c r="K24" s="278"/>
      <c r="L24" s="278"/>
    </row>
    <row r="26" spans="1:12" x14ac:dyDescent="0.25">
      <c r="A26" s="259" t="s">
        <v>164</v>
      </c>
      <c r="B26" s="259"/>
      <c r="C26" s="259"/>
      <c r="D26" s="259"/>
      <c r="E26" s="259"/>
      <c r="F26" s="259"/>
      <c r="G26" s="259"/>
      <c r="H26" s="259"/>
      <c r="I26" s="259"/>
      <c r="J26" s="259"/>
      <c r="K26" s="259"/>
      <c r="L26" s="259"/>
    </row>
    <row r="27" spans="1:12" ht="15.75" customHeight="1" x14ac:dyDescent="0.25">
      <c r="A27" s="259"/>
      <c r="B27" s="259"/>
      <c r="C27" s="259"/>
      <c r="D27" s="259"/>
      <c r="E27" s="259"/>
      <c r="F27" s="259"/>
      <c r="G27" s="259"/>
      <c r="H27" s="259"/>
      <c r="I27" s="259"/>
      <c r="J27" s="259"/>
      <c r="K27" s="259"/>
      <c r="L27" s="259"/>
    </row>
  </sheetData>
  <mergeCells count="6">
    <mergeCell ref="A26:L27"/>
    <mergeCell ref="A3:C3"/>
    <mergeCell ref="D3:F3"/>
    <mergeCell ref="G3:I3"/>
    <mergeCell ref="J3:L3"/>
    <mergeCell ref="A24:L24"/>
  </mergeCells>
  <phoneticPr fontId="68" type="noConversion"/>
  <pageMargins left="0.7" right="0.7" top="0.75" bottom="0.75" header="0.3" footer="0.3"/>
  <pageSetup scale="75" orientation="landscape"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AI132"/>
  <sheetViews>
    <sheetView zoomScaleNormal="100" zoomScaleSheetLayoutView="100" workbookViewId="0"/>
  </sheetViews>
  <sheetFormatPr defaultColWidth="8.85546875" defaultRowHeight="12.75" x14ac:dyDescent="0.2"/>
  <cols>
    <col min="1" max="1" width="29" style="60" customWidth="1"/>
    <col min="2" max="4" width="10.42578125" style="60" customWidth="1"/>
    <col min="5" max="5" width="8.85546875" style="11"/>
    <col min="6" max="6" width="11.85546875" style="11" customWidth="1"/>
    <col min="7" max="7" width="8.85546875" style="11"/>
    <col min="8" max="8" width="12.140625" style="6" customWidth="1"/>
    <col min="9" max="9" width="15.85546875" style="7" customWidth="1"/>
    <col min="10" max="10" width="16" style="7" customWidth="1"/>
    <col min="11" max="11" width="13.140625" style="7" customWidth="1"/>
    <col min="12" max="12" width="8.85546875" style="7"/>
    <col min="13" max="13" width="17.42578125" style="7" customWidth="1"/>
    <col min="14" max="14" width="15.42578125" style="7" customWidth="1"/>
    <col min="15" max="15" width="10.85546875" style="7" customWidth="1"/>
    <col min="16" max="16" width="8.85546875" style="7"/>
    <col min="17" max="17" width="17.42578125" style="7" customWidth="1"/>
    <col min="18" max="18" width="16.85546875" style="6" customWidth="1"/>
    <col min="19" max="19" width="12" style="6" customWidth="1"/>
    <col min="20" max="20" width="8.85546875" style="6"/>
    <col min="21" max="21" width="17.42578125" style="6" customWidth="1"/>
    <col min="22" max="22" width="16.85546875" style="6" customWidth="1"/>
    <col min="23" max="23" width="12" style="6" customWidth="1"/>
    <col min="24" max="254" width="8.85546875" style="6"/>
    <col min="255" max="255" width="29" style="6" customWidth="1"/>
    <col min="256" max="260" width="10.42578125" style="6" customWidth="1"/>
    <col min="261" max="261" width="8.85546875" style="6"/>
    <col min="262" max="262" width="11.85546875" style="6" customWidth="1"/>
    <col min="263" max="263" width="8.85546875" style="6"/>
    <col min="264" max="265" width="15.85546875" style="6" customWidth="1"/>
    <col min="266" max="266" width="16" style="6" customWidth="1"/>
    <col min="267" max="267" width="13.140625" style="6" customWidth="1"/>
    <col min="268" max="268" width="8.85546875" style="6"/>
    <col min="269" max="269" width="17.42578125" style="6" customWidth="1"/>
    <col min="270" max="270" width="15.42578125" style="6" customWidth="1"/>
    <col min="271" max="271" width="10.85546875" style="6" customWidth="1"/>
    <col min="272" max="272" width="8.85546875" style="6"/>
    <col min="273" max="273" width="17.42578125" style="6" customWidth="1"/>
    <col min="274" max="274" width="16.85546875" style="6" customWidth="1"/>
    <col min="275" max="275" width="12" style="6" customWidth="1"/>
    <col min="276" max="276" width="8.85546875" style="6"/>
    <col min="277" max="277" width="17.42578125" style="6" customWidth="1"/>
    <col min="278" max="278" width="16.85546875" style="6" customWidth="1"/>
    <col min="279" max="279" width="12" style="6" customWidth="1"/>
    <col min="280" max="510" width="8.85546875" style="6"/>
    <col min="511" max="511" width="29" style="6" customWidth="1"/>
    <col min="512" max="516" width="10.42578125" style="6" customWidth="1"/>
    <col min="517" max="517" width="8.85546875" style="6"/>
    <col min="518" max="518" width="11.85546875" style="6" customWidth="1"/>
    <col min="519" max="519" width="8.85546875" style="6"/>
    <col min="520" max="521" width="15.85546875" style="6" customWidth="1"/>
    <col min="522" max="522" width="16" style="6" customWidth="1"/>
    <col min="523" max="523" width="13.140625" style="6" customWidth="1"/>
    <col min="524" max="524" width="8.85546875" style="6"/>
    <col min="525" max="525" width="17.42578125" style="6" customWidth="1"/>
    <col min="526" max="526" width="15.42578125" style="6" customWidth="1"/>
    <col min="527" max="527" width="10.85546875" style="6" customWidth="1"/>
    <col min="528" max="528" width="8.85546875" style="6"/>
    <col min="529" max="529" width="17.42578125" style="6" customWidth="1"/>
    <col min="530" max="530" width="16.85546875" style="6" customWidth="1"/>
    <col min="531" max="531" width="12" style="6" customWidth="1"/>
    <col min="532" max="532" width="8.85546875" style="6"/>
    <col min="533" max="533" width="17.42578125" style="6" customWidth="1"/>
    <col min="534" max="534" width="16.85546875" style="6" customWidth="1"/>
    <col min="535" max="535" width="12" style="6" customWidth="1"/>
    <col min="536" max="766" width="8.85546875" style="6"/>
    <col min="767" max="767" width="29" style="6" customWidth="1"/>
    <col min="768" max="772" width="10.42578125" style="6" customWidth="1"/>
    <col min="773" max="773" width="8.85546875" style="6"/>
    <col min="774" max="774" width="11.85546875" style="6" customWidth="1"/>
    <col min="775" max="775" width="8.85546875" style="6"/>
    <col min="776" max="777" width="15.85546875" style="6" customWidth="1"/>
    <col min="778" max="778" width="16" style="6" customWidth="1"/>
    <col min="779" max="779" width="13.140625" style="6" customWidth="1"/>
    <col min="780" max="780" width="8.85546875" style="6"/>
    <col min="781" max="781" width="17.42578125" style="6" customWidth="1"/>
    <col min="782" max="782" width="15.42578125" style="6" customWidth="1"/>
    <col min="783" max="783" width="10.85546875" style="6" customWidth="1"/>
    <col min="784" max="784" width="8.85546875" style="6"/>
    <col min="785" max="785" width="17.42578125" style="6" customWidth="1"/>
    <col min="786" max="786" width="16.85546875" style="6" customWidth="1"/>
    <col min="787" max="787" width="12" style="6" customWidth="1"/>
    <col min="788" max="788" width="8.85546875" style="6"/>
    <col min="789" max="789" width="17.42578125" style="6" customWidth="1"/>
    <col min="790" max="790" width="16.85546875" style="6" customWidth="1"/>
    <col min="791" max="791" width="12" style="6" customWidth="1"/>
    <col min="792" max="1022" width="8.85546875" style="6"/>
    <col min="1023" max="1023" width="29" style="6" customWidth="1"/>
    <col min="1024" max="1028" width="10.42578125" style="6" customWidth="1"/>
    <col min="1029" max="1029" width="8.85546875" style="6"/>
    <col min="1030" max="1030" width="11.85546875" style="6" customWidth="1"/>
    <col min="1031" max="1031" width="8.85546875" style="6"/>
    <col min="1032" max="1033" width="15.85546875" style="6" customWidth="1"/>
    <col min="1034" max="1034" width="16" style="6" customWidth="1"/>
    <col min="1035" max="1035" width="13.140625" style="6" customWidth="1"/>
    <col min="1036" max="1036" width="8.85546875" style="6"/>
    <col min="1037" max="1037" width="17.42578125" style="6" customWidth="1"/>
    <col min="1038" max="1038" width="15.42578125" style="6" customWidth="1"/>
    <col min="1039" max="1039" width="10.85546875" style="6" customWidth="1"/>
    <col min="1040" max="1040" width="8.85546875" style="6"/>
    <col min="1041" max="1041" width="17.42578125" style="6" customWidth="1"/>
    <col min="1042" max="1042" width="16.85546875" style="6" customWidth="1"/>
    <col min="1043" max="1043" width="12" style="6" customWidth="1"/>
    <col min="1044" max="1044" width="8.85546875" style="6"/>
    <col min="1045" max="1045" width="17.42578125" style="6" customWidth="1"/>
    <col min="1046" max="1046" width="16.85546875" style="6" customWidth="1"/>
    <col min="1047" max="1047" width="12" style="6" customWidth="1"/>
    <col min="1048" max="1278" width="8.85546875" style="6"/>
    <col min="1279" max="1279" width="29" style="6" customWidth="1"/>
    <col min="1280" max="1284" width="10.42578125" style="6" customWidth="1"/>
    <col min="1285" max="1285" width="8.85546875" style="6"/>
    <col min="1286" max="1286" width="11.85546875" style="6" customWidth="1"/>
    <col min="1287" max="1287" width="8.85546875" style="6"/>
    <col min="1288" max="1289" width="15.85546875" style="6" customWidth="1"/>
    <col min="1290" max="1290" width="16" style="6" customWidth="1"/>
    <col min="1291" max="1291" width="13.140625" style="6" customWidth="1"/>
    <col min="1292" max="1292" width="8.85546875" style="6"/>
    <col min="1293" max="1293" width="17.42578125" style="6" customWidth="1"/>
    <col min="1294" max="1294" width="15.42578125" style="6" customWidth="1"/>
    <col min="1295" max="1295" width="10.85546875" style="6" customWidth="1"/>
    <col min="1296" max="1296" width="8.85546875" style="6"/>
    <col min="1297" max="1297" width="17.42578125" style="6" customWidth="1"/>
    <col min="1298" max="1298" width="16.85546875" style="6" customWidth="1"/>
    <col min="1299" max="1299" width="12" style="6" customWidth="1"/>
    <col min="1300" max="1300" width="8.85546875" style="6"/>
    <col min="1301" max="1301" width="17.42578125" style="6" customWidth="1"/>
    <col min="1302" max="1302" width="16.85546875" style="6" customWidth="1"/>
    <col min="1303" max="1303" width="12" style="6" customWidth="1"/>
    <col min="1304" max="1534" width="8.85546875" style="6"/>
    <col min="1535" max="1535" width="29" style="6" customWidth="1"/>
    <col min="1536" max="1540" width="10.42578125" style="6" customWidth="1"/>
    <col min="1541" max="1541" width="8.85546875" style="6"/>
    <col min="1542" max="1542" width="11.85546875" style="6" customWidth="1"/>
    <col min="1543" max="1543" width="8.85546875" style="6"/>
    <col min="1544" max="1545" width="15.85546875" style="6" customWidth="1"/>
    <col min="1546" max="1546" width="16" style="6" customWidth="1"/>
    <col min="1547" max="1547" width="13.140625" style="6" customWidth="1"/>
    <col min="1548" max="1548" width="8.85546875" style="6"/>
    <col min="1549" max="1549" width="17.42578125" style="6" customWidth="1"/>
    <col min="1550" max="1550" width="15.42578125" style="6" customWidth="1"/>
    <col min="1551" max="1551" width="10.85546875" style="6" customWidth="1"/>
    <col min="1552" max="1552" width="8.85546875" style="6"/>
    <col min="1553" max="1553" width="17.42578125" style="6" customWidth="1"/>
    <col min="1554" max="1554" width="16.85546875" style="6" customWidth="1"/>
    <col min="1555" max="1555" width="12" style="6" customWidth="1"/>
    <col min="1556" max="1556" width="8.85546875" style="6"/>
    <col min="1557" max="1557" width="17.42578125" style="6" customWidth="1"/>
    <col min="1558" max="1558" width="16.85546875" style="6" customWidth="1"/>
    <col min="1559" max="1559" width="12" style="6" customWidth="1"/>
    <col min="1560" max="1790" width="8.85546875" style="6"/>
    <col min="1791" max="1791" width="29" style="6" customWidth="1"/>
    <col min="1792" max="1796" width="10.42578125" style="6" customWidth="1"/>
    <col min="1797" max="1797" width="8.85546875" style="6"/>
    <col min="1798" max="1798" width="11.85546875" style="6" customWidth="1"/>
    <col min="1799" max="1799" width="8.85546875" style="6"/>
    <col min="1800" max="1801" width="15.85546875" style="6" customWidth="1"/>
    <col min="1802" max="1802" width="16" style="6" customWidth="1"/>
    <col min="1803" max="1803" width="13.140625" style="6" customWidth="1"/>
    <col min="1804" max="1804" width="8.85546875" style="6"/>
    <col min="1805" max="1805" width="17.42578125" style="6" customWidth="1"/>
    <col min="1806" max="1806" width="15.42578125" style="6" customWidth="1"/>
    <col min="1807" max="1807" width="10.85546875" style="6" customWidth="1"/>
    <col min="1808" max="1808" width="8.85546875" style="6"/>
    <col min="1809" max="1809" width="17.42578125" style="6" customWidth="1"/>
    <col min="1810" max="1810" width="16.85546875" style="6" customWidth="1"/>
    <col min="1811" max="1811" width="12" style="6" customWidth="1"/>
    <col min="1812" max="1812" width="8.85546875" style="6"/>
    <col min="1813" max="1813" width="17.42578125" style="6" customWidth="1"/>
    <col min="1814" max="1814" width="16.85546875" style="6" customWidth="1"/>
    <col min="1815" max="1815" width="12" style="6" customWidth="1"/>
    <col min="1816" max="2046" width="8.85546875" style="6"/>
    <col min="2047" max="2047" width="29" style="6" customWidth="1"/>
    <col min="2048" max="2052" width="10.42578125" style="6" customWidth="1"/>
    <col min="2053" max="2053" width="8.85546875" style="6"/>
    <col min="2054" max="2054" width="11.85546875" style="6" customWidth="1"/>
    <col min="2055" max="2055" width="8.85546875" style="6"/>
    <col min="2056" max="2057" width="15.85546875" style="6" customWidth="1"/>
    <col min="2058" max="2058" width="16" style="6" customWidth="1"/>
    <col min="2059" max="2059" width="13.140625" style="6" customWidth="1"/>
    <col min="2060" max="2060" width="8.85546875" style="6"/>
    <col min="2061" max="2061" width="17.42578125" style="6" customWidth="1"/>
    <col min="2062" max="2062" width="15.42578125" style="6" customWidth="1"/>
    <col min="2063" max="2063" width="10.85546875" style="6" customWidth="1"/>
    <col min="2064" max="2064" width="8.85546875" style="6"/>
    <col min="2065" max="2065" width="17.42578125" style="6" customWidth="1"/>
    <col min="2066" max="2066" width="16.85546875" style="6" customWidth="1"/>
    <col min="2067" max="2067" width="12" style="6" customWidth="1"/>
    <col min="2068" max="2068" width="8.85546875" style="6"/>
    <col min="2069" max="2069" width="17.42578125" style="6" customWidth="1"/>
    <col min="2070" max="2070" width="16.85546875" style="6" customWidth="1"/>
    <col min="2071" max="2071" width="12" style="6" customWidth="1"/>
    <col min="2072" max="2302" width="8.85546875" style="6"/>
    <col min="2303" max="2303" width="29" style="6" customWidth="1"/>
    <col min="2304" max="2308" width="10.42578125" style="6" customWidth="1"/>
    <col min="2309" max="2309" width="8.85546875" style="6"/>
    <col min="2310" max="2310" width="11.85546875" style="6" customWidth="1"/>
    <col min="2311" max="2311" width="8.85546875" style="6"/>
    <col min="2312" max="2313" width="15.85546875" style="6" customWidth="1"/>
    <col min="2314" max="2314" width="16" style="6" customWidth="1"/>
    <col min="2315" max="2315" width="13.140625" style="6" customWidth="1"/>
    <col min="2316" max="2316" width="8.85546875" style="6"/>
    <col min="2317" max="2317" width="17.42578125" style="6" customWidth="1"/>
    <col min="2318" max="2318" width="15.42578125" style="6" customWidth="1"/>
    <col min="2319" max="2319" width="10.85546875" style="6" customWidth="1"/>
    <col min="2320" max="2320" width="8.85546875" style="6"/>
    <col min="2321" max="2321" width="17.42578125" style="6" customWidth="1"/>
    <col min="2322" max="2322" width="16.85546875" style="6" customWidth="1"/>
    <col min="2323" max="2323" width="12" style="6" customWidth="1"/>
    <col min="2324" max="2324" width="8.85546875" style="6"/>
    <col min="2325" max="2325" width="17.42578125" style="6" customWidth="1"/>
    <col min="2326" max="2326" width="16.85546875" style="6" customWidth="1"/>
    <col min="2327" max="2327" width="12" style="6" customWidth="1"/>
    <col min="2328" max="2558" width="8.85546875" style="6"/>
    <col min="2559" max="2559" width="29" style="6" customWidth="1"/>
    <col min="2560" max="2564" width="10.42578125" style="6" customWidth="1"/>
    <col min="2565" max="2565" width="8.85546875" style="6"/>
    <col min="2566" max="2566" width="11.85546875" style="6" customWidth="1"/>
    <col min="2567" max="2567" width="8.85546875" style="6"/>
    <col min="2568" max="2569" width="15.85546875" style="6" customWidth="1"/>
    <col min="2570" max="2570" width="16" style="6" customWidth="1"/>
    <col min="2571" max="2571" width="13.140625" style="6" customWidth="1"/>
    <col min="2572" max="2572" width="8.85546875" style="6"/>
    <col min="2573" max="2573" width="17.42578125" style="6" customWidth="1"/>
    <col min="2574" max="2574" width="15.42578125" style="6" customWidth="1"/>
    <col min="2575" max="2575" width="10.85546875" style="6" customWidth="1"/>
    <col min="2576" max="2576" width="8.85546875" style="6"/>
    <col min="2577" max="2577" width="17.42578125" style="6" customWidth="1"/>
    <col min="2578" max="2578" width="16.85546875" style="6" customWidth="1"/>
    <col min="2579" max="2579" width="12" style="6" customWidth="1"/>
    <col min="2580" max="2580" width="8.85546875" style="6"/>
    <col min="2581" max="2581" width="17.42578125" style="6" customWidth="1"/>
    <col min="2582" max="2582" width="16.85546875" style="6" customWidth="1"/>
    <col min="2583" max="2583" width="12" style="6" customWidth="1"/>
    <col min="2584" max="2814" width="8.85546875" style="6"/>
    <col min="2815" max="2815" width="29" style="6" customWidth="1"/>
    <col min="2816" max="2820" width="10.42578125" style="6" customWidth="1"/>
    <col min="2821" max="2821" width="8.85546875" style="6"/>
    <col min="2822" max="2822" width="11.85546875" style="6" customWidth="1"/>
    <col min="2823" max="2823" width="8.85546875" style="6"/>
    <col min="2824" max="2825" width="15.85546875" style="6" customWidth="1"/>
    <col min="2826" max="2826" width="16" style="6" customWidth="1"/>
    <col min="2827" max="2827" width="13.140625" style="6" customWidth="1"/>
    <col min="2828" max="2828" width="8.85546875" style="6"/>
    <col min="2829" max="2829" width="17.42578125" style="6" customWidth="1"/>
    <col min="2830" max="2830" width="15.42578125" style="6" customWidth="1"/>
    <col min="2831" max="2831" width="10.85546875" style="6" customWidth="1"/>
    <col min="2832" max="2832" width="8.85546875" style="6"/>
    <col min="2833" max="2833" width="17.42578125" style="6" customWidth="1"/>
    <col min="2834" max="2834" width="16.85546875" style="6" customWidth="1"/>
    <col min="2835" max="2835" width="12" style="6" customWidth="1"/>
    <col min="2836" max="2836" width="8.85546875" style="6"/>
    <col min="2837" max="2837" width="17.42578125" style="6" customWidth="1"/>
    <col min="2838" max="2838" width="16.85546875" style="6" customWidth="1"/>
    <col min="2839" max="2839" width="12" style="6" customWidth="1"/>
    <col min="2840" max="3070" width="8.85546875" style="6"/>
    <col min="3071" max="3071" width="29" style="6" customWidth="1"/>
    <col min="3072" max="3076" width="10.42578125" style="6" customWidth="1"/>
    <col min="3077" max="3077" width="8.85546875" style="6"/>
    <col min="3078" max="3078" width="11.85546875" style="6" customWidth="1"/>
    <col min="3079" max="3079" width="8.85546875" style="6"/>
    <col min="3080" max="3081" width="15.85546875" style="6" customWidth="1"/>
    <col min="3082" max="3082" width="16" style="6" customWidth="1"/>
    <col min="3083" max="3083" width="13.140625" style="6" customWidth="1"/>
    <col min="3084" max="3084" width="8.85546875" style="6"/>
    <col min="3085" max="3085" width="17.42578125" style="6" customWidth="1"/>
    <col min="3086" max="3086" width="15.42578125" style="6" customWidth="1"/>
    <col min="3087" max="3087" width="10.85546875" style="6" customWidth="1"/>
    <col min="3088" max="3088" width="8.85546875" style="6"/>
    <col min="3089" max="3089" width="17.42578125" style="6" customWidth="1"/>
    <col min="3090" max="3090" width="16.85546875" style="6" customWidth="1"/>
    <col min="3091" max="3091" width="12" style="6" customWidth="1"/>
    <col min="3092" max="3092" width="8.85546875" style="6"/>
    <col min="3093" max="3093" width="17.42578125" style="6" customWidth="1"/>
    <col min="3094" max="3094" width="16.85546875" style="6" customWidth="1"/>
    <col min="3095" max="3095" width="12" style="6" customWidth="1"/>
    <col min="3096" max="3326" width="8.85546875" style="6"/>
    <col min="3327" max="3327" width="29" style="6" customWidth="1"/>
    <col min="3328" max="3332" width="10.42578125" style="6" customWidth="1"/>
    <col min="3333" max="3333" width="8.85546875" style="6"/>
    <col min="3334" max="3334" width="11.85546875" style="6" customWidth="1"/>
    <col min="3335" max="3335" width="8.85546875" style="6"/>
    <col min="3336" max="3337" width="15.85546875" style="6" customWidth="1"/>
    <col min="3338" max="3338" width="16" style="6" customWidth="1"/>
    <col min="3339" max="3339" width="13.140625" style="6" customWidth="1"/>
    <col min="3340" max="3340" width="8.85546875" style="6"/>
    <col min="3341" max="3341" width="17.42578125" style="6" customWidth="1"/>
    <col min="3342" max="3342" width="15.42578125" style="6" customWidth="1"/>
    <col min="3343" max="3343" width="10.85546875" style="6" customWidth="1"/>
    <col min="3344" max="3344" width="8.85546875" style="6"/>
    <col min="3345" max="3345" width="17.42578125" style="6" customWidth="1"/>
    <col min="3346" max="3346" width="16.85546875" style="6" customWidth="1"/>
    <col min="3347" max="3347" width="12" style="6" customWidth="1"/>
    <col min="3348" max="3348" width="8.85546875" style="6"/>
    <col min="3349" max="3349" width="17.42578125" style="6" customWidth="1"/>
    <col min="3350" max="3350" width="16.85546875" style="6" customWidth="1"/>
    <col min="3351" max="3351" width="12" style="6" customWidth="1"/>
    <col min="3352" max="3582" width="8.85546875" style="6"/>
    <col min="3583" max="3583" width="29" style="6" customWidth="1"/>
    <col min="3584" max="3588" width="10.42578125" style="6" customWidth="1"/>
    <col min="3589" max="3589" width="8.85546875" style="6"/>
    <col min="3590" max="3590" width="11.85546875" style="6" customWidth="1"/>
    <col min="3591" max="3591" width="8.85546875" style="6"/>
    <col min="3592" max="3593" width="15.85546875" style="6" customWidth="1"/>
    <col min="3594" max="3594" width="16" style="6" customWidth="1"/>
    <col min="3595" max="3595" width="13.140625" style="6" customWidth="1"/>
    <col min="3596" max="3596" width="8.85546875" style="6"/>
    <col min="3597" max="3597" width="17.42578125" style="6" customWidth="1"/>
    <col min="3598" max="3598" width="15.42578125" style="6" customWidth="1"/>
    <col min="3599" max="3599" width="10.85546875" style="6" customWidth="1"/>
    <col min="3600" max="3600" width="8.85546875" style="6"/>
    <col min="3601" max="3601" width="17.42578125" style="6" customWidth="1"/>
    <col min="3602" max="3602" width="16.85546875" style="6" customWidth="1"/>
    <col min="3603" max="3603" width="12" style="6" customWidth="1"/>
    <col min="3604" max="3604" width="8.85546875" style="6"/>
    <col min="3605" max="3605" width="17.42578125" style="6" customWidth="1"/>
    <col min="3606" max="3606" width="16.85546875" style="6" customWidth="1"/>
    <col min="3607" max="3607" width="12" style="6" customWidth="1"/>
    <col min="3608" max="3838" width="8.85546875" style="6"/>
    <col min="3839" max="3839" width="29" style="6" customWidth="1"/>
    <col min="3840" max="3844" width="10.42578125" style="6" customWidth="1"/>
    <col min="3845" max="3845" width="8.85546875" style="6"/>
    <col min="3846" max="3846" width="11.85546875" style="6" customWidth="1"/>
    <col min="3847" max="3847" width="8.85546875" style="6"/>
    <col min="3848" max="3849" width="15.85546875" style="6" customWidth="1"/>
    <col min="3850" max="3850" width="16" style="6" customWidth="1"/>
    <col min="3851" max="3851" width="13.140625" style="6" customWidth="1"/>
    <col min="3852" max="3852" width="8.85546875" style="6"/>
    <col min="3853" max="3853" width="17.42578125" style="6" customWidth="1"/>
    <col min="3854" max="3854" width="15.42578125" style="6" customWidth="1"/>
    <col min="3855" max="3855" width="10.85546875" style="6" customWidth="1"/>
    <col min="3856" max="3856" width="8.85546875" style="6"/>
    <col min="3857" max="3857" width="17.42578125" style="6" customWidth="1"/>
    <col min="3858" max="3858" width="16.85546875" style="6" customWidth="1"/>
    <col min="3859" max="3859" width="12" style="6" customWidth="1"/>
    <col min="3860" max="3860" width="8.85546875" style="6"/>
    <col min="3861" max="3861" width="17.42578125" style="6" customWidth="1"/>
    <col min="3862" max="3862" width="16.85546875" style="6" customWidth="1"/>
    <col min="3863" max="3863" width="12" style="6" customWidth="1"/>
    <col min="3864" max="4094" width="8.85546875" style="6"/>
    <col min="4095" max="4095" width="29" style="6" customWidth="1"/>
    <col min="4096" max="4100" width="10.42578125" style="6" customWidth="1"/>
    <col min="4101" max="4101" width="8.85546875" style="6"/>
    <col min="4102" max="4102" width="11.85546875" style="6" customWidth="1"/>
    <col min="4103" max="4103" width="8.85546875" style="6"/>
    <col min="4104" max="4105" width="15.85546875" style="6" customWidth="1"/>
    <col min="4106" max="4106" width="16" style="6" customWidth="1"/>
    <col min="4107" max="4107" width="13.140625" style="6" customWidth="1"/>
    <col min="4108" max="4108" width="8.85546875" style="6"/>
    <col min="4109" max="4109" width="17.42578125" style="6" customWidth="1"/>
    <col min="4110" max="4110" width="15.42578125" style="6" customWidth="1"/>
    <col min="4111" max="4111" width="10.85546875" style="6" customWidth="1"/>
    <col min="4112" max="4112" width="8.85546875" style="6"/>
    <col min="4113" max="4113" width="17.42578125" style="6" customWidth="1"/>
    <col min="4114" max="4114" width="16.85546875" style="6" customWidth="1"/>
    <col min="4115" max="4115" width="12" style="6" customWidth="1"/>
    <col min="4116" max="4116" width="8.85546875" style="6"/>
    <col min="4117" max="4117" width="17.42578125" style="6" customWidth="1"/>
    <col min="4118" max="4118" width="16.85546875" style="6" customWidth="1"/>
    <col min="4119" max="4119" width="12" style="6" customWidth="1"/>
    <col min="4120" max="4350" width="8.85546875" style="6"/>
    <col min="4351" max="4351" width="29" style="6" customWidth="1"/>
    <col min="4352" max="4356" width="10.42578125" style="6" customWidth="1"/>
    <col min="4357" max="4357" width="8.85546875" style="6"/>
    <col min="4358" max="4358" width="11.85546875" style="6" customWidth="1"/>
    <col min="4359" max="4359" width="8.85546875" style="6"/>
    <col min="4360" max="4361" width="15.85546875" style="6" customWidth="1"/>
    <col min="4362" max="4362" width="16" style="6" customWidth="1"/>
    <col min="4363" max="4363" width="13.140625" style="6" customWidth="1"/>
    <col min="4364" max="4364" width="8.85546875" style="6"/>
    <col min="4365" max="4365" width="17.42578125" style="6" customWidth="1"/>
    <col min="4366" max="4366" width="15.42578125" style="6" customWidth="1"/>
    <col min="4367" max="4367" width="10.85546875" style="6" customWidth="1"/>
    <col min="4368" max="4368" width="8.85546875" style="6"/>
    <col min="4369" max="4369" width="17.42578125" style="6" customWidth="1"/>
    <col min="4370" max="4370" width="16.85546875" style="6" customWidth="1"/>
    <col min="4371" max="4371" width="12" style="6" customWidth="1"/>
    <col min="4372" max="4372" width="8.85546875" style="6"/>
    <col min="4373" max="4373" width="17.42578125" style="6" customWidth="1"/>
    <col min="4374" max="4374" width="16.85546875" style="6" customWidth="1"/>
    <col min="4375" max="4375" width="12" style="6" customWidth="1"/>
    <col min="4376" max="4606" width="8.85546875" style="6"/>
    <col min="4607" max="4607" width="29" style="6" customWidth="1"/>
    <col min="4608" max="4612" width="10.42578125" style="6" customWidth="1"/>
    <col min="4613" max="4613" width="8.85546875" style="6"/>
    <col min="4614" max="4614" width="11.85546875" style="6" customWidth="1"/>
    <col min="4615" max="4615" width="8.85546875" style="6"/>
    <col min="4616" max="4617" width="15.85546875" style="6" customWidth="1"/>
    <col min="4618" max="4618" width="16" style="6" customWidth="1"/>
    <col min="4619" max="4619" width="13.140625" style="6" customWidth="1"/>
    <col min="4620" max="4620" width="8.85546875" style="6"/>
    <col min="4621" max="4621" width="17.42578125" style="6" customWidth="1"/>
    <col min="4622" max="4622" width="15.42578125" style="6" customWidth="1"/>
    <col min="4623" max="4623" width="10.85546875" style="6" customWidth="1"/>
    <col min="4624" max="4624" width="8.85546875" style="6"/>
    <col min="4625" max="4625" width="17.42578125" style="6" customWidth="1"/>
    <col min="4626" max="4626" width="16.85546875" style="6" customWidth="1"/>
    <col min="4627" max="4627" width="12" style="6" customWidth="1"/>
    <col min="4628" max="4628" width="8.85546875" style="6"/>
    <col min="4629" max="4629" width="17.42578125" style="6" customWidth="1"/>
    <col min="4630" max="4630" width="16.85546875" style="6" customWidth="1"/>
    <col min="4631" max="4631" width="12" style="6" customWidth="1"/>
    <col min="4632" max="4862" width="8.85546875" style="6"/>
    <col min="4863" max="4863" width="29" style="6" customWidth="1"/>
    <col min="4864" max="4868" width="10.42578125" style="6" customWidth="1"/>
    <col min="4869" max="4869" width="8.85546875" style="6"/>
    <col min="4870" max="4870" width="11.85546875" style="6" customWidth="1"/>
    <col min="4871" max="4871" width="8.85546875" style="6"/>
    <col min="4872" max="4873" width="15.85546875" style="6" customWidth="1"/>
    <col min="4874" max="4874" width="16" style="6" customWidth="1"/>
    <col min="4875" max="4875" width="13.140625" style="6" customWidth="1"/>
    <col min="4876" max="4876" width="8.85546875" style="6"/>
    <col min="4877" max="4877" width="17.42578125" style="6" customWidth="1"/>
    <col min="4878" max="4878" width="15.42578125" style="6" customWidth="1"/>
    <col min="4879" max="4879" width="10.85546875" style="6" customWidth="1"/>
    <col min="4880" max="4880" width="8.85546875" style="6"/>
    <col min="4881" max="4881" width="17.42578125" style="6" customWidth="1"/>
    <col min="4882" max="4882" width="16.85546875" style="6" customWidth="1"/>
    <col min="4883" max="4883" width="12" style="6" customWidth="1"/>
    <col min="4884" max="4884" width="8.85546875" style="6"/>
    <col min="4885" max="4885" width="17.42578125" style="6" customWidth="1"/>
    <col min="4886" max="4886" width="16.85546875" style="6" customWidth="1"/>
    <col min="4887" max="4887" width="12" style="6" customWidth="1"/>
    <col min="4888" max="5118" width="8.85546875" style="6"/>
    <col min="5119" max="5119" width="29" style="6" customWidth="1"/>
    <col min="5120" max="5124" width="10.42578125" style="6" customWidth="1"/>
    <col min="5125" max="5125" width="8.85546875" style="6"/>
    <col min="5126" max="5126" width="11.85546875" style="6" customWidth="1"/>
    <col min="5127" max="5127" width="8.85546875" style="6"/>
    <col min="5128" max="5129" width="15.85546875" style="6" customWidth="1"/>
    <col min="5130" max="5130" width="16" style="6" customWidth="1"/>
    <col min="5131" max="5131" width="13.140625" style="6" customWidth="1"/>
    <col min="5132" max="5132" width="8.85546875" style="6"/>
    <col min="5133" max="5133" width="17.42578125" style="6" customWidth="1"/>
    <col min="5134" max="5134" width="15.42578125" style="6" customWidth="1"/>
    <col min="5135" max="5135" width="10.85546875" style="6" customWidth="1"/>
    <col min="5136" max="5136" width="8.85546875" style="6"/>
    <col min="5137" max="5137" width="17.42578125" style="6" customWidth="1"/>
    <col min="5138" max="5138" width="16.85546875" style="6" customWidth="1"/>
    <col min="5139" max="5139" width="12" style="6" customWidth="1"/>
    <col min="5140" max="5140" width="8.85546875" style="6"/>
    <col min="5141" max="5141" width="17.42578125" style="6" customWidth="1"/>
    <col min="5142" max="5142" width="16.85546875" style="6" customWidth="1"/>
    <col min="5143" max="5143" width="12" style="6" customWidth="1"/>
    <col min="5144" max="5374" width="8.85546875" style="6"/>
    <col min="5375" max="5375" width="29" style="6" customWidth="1"/>
    <col min="5376" max="5380" width="10.42578125" style="6" customWidth="1"/>
    <col min="5381" max="5381" width="8.85546875" style="6"/>
    <col min="5382" max="5382" width="11.85546875" style="6" customWidth="1"/>
    <col min="5383" max="5383" width="8.85546875" style="6"/>
    <col min="5384" max="5385" width="15.85546875" style="6" customWidth="1"/>
    <col min="5386" max="5386" width="16" style="6" customWidth="1"/>
    <col min="5387" max="5387" width="13.140625" style="6" customWidth="1"/>
    <col min="5388" max="5388" width="8.85546875" style="6"/>
    <col min="5389" max="5389" width="17.42578125" style="6" customWidth="1"/>
    <col min="5390" max="5390" width="15.42578125" style="6" customWidth="1"/>
    <col min="5391" max="5391" width="10.85546875" style="6" customWidth="1"/>
    <col min="5392" max="5392" width="8.85546875" style="6"/>
    <col min="5393" max="5393" width="17.42578125" style="6" customWidth="1"/>
    <col min="5394" max="5394" width="16.85546875" style="6" customWidth="1"/>
    <col min="5395" max="5395" width="12" style="6" customWidth="1"/>
    <col min="5396" max="5396" width="8.85546875" style="6"/>
    <col min="5397" max="5397" width="17.42578125" style="6" customWidth="1"/>
    <col min="5398" max="5398" width="16.85546875" style="6" customWidth="1"/>
    <col min="5399" max="5399" width="12" style="6" customWidth="1"/>
    <col min="5400" max="5630" width="8.85546875" style="6"/>
    <col min="5631" max="5631" width="29" style="6" customWidth="1"/>
    <col min="5632" max="5636" width="10.42578125" style="6" customWidth="1"/>
    <col min="5637" max="5637" width="8.85546875" style="6"/>
    <col min="5638" max="5638" width="11.85546875" style="6" customWidth="1"/>
    <col min="5639" max="5639" width="8.85546875" style="6"/>
    <col min="5640" max="5641" width="15.85546875" style="6" customWidth="1"/>
    <col min="5642" max="5642" width="16" style="6" customWidth="1"/>
    <col min="5643" max="5643" width="13.140625" style="6" customWidth="1"/>
    <col min="5644" max="5644" width="8.85546875" style="6"/>
    <col min="5645" max="5645" width="17.42578125" style="6" customWidth="1"/>
    <col min="5646" max="5646" width="15.42578125" style="6" customWidth="1"/>
    <col min="5647" max="5647" width="10.85546875" style="6" customWidth="1"/>
    <col min="5648" max="5648" width="8.85546875" style="6"/>
    <col min="5649" max="5649" width="17.42578125" style="6" customWidth="1"/>
    <col min="5650" max="5650" width="16.85546875" style="6" customWidth="1"/>
    <col min="5651" max="5651" width="12" style="6" customWidth="1"/>
    <col min="5652" max="5652" width="8.85546875" style="6"/>
    <col min="5653" max="5653" width="17.42578125" style="6" customWidth="1"/>
    <col min="5654" max="5654" width="16.85546875" style="6" customWidth="1"/>
    <col min="5655" max="5655" width="12" style="6" customWidth="1"/>
    <col min="5656" max="5886" width="8.85546875" style="6"/>
    <col min="5887" max="5887" width="29" style="6" customWidth="1"/>
    <col min="5888" max="5892" width="10.42578125" style="6" customWidth="1"/>
    <col min="5893" max="5893" width="8.85546875" style="6"/>
    <col min="5894" max="5894" width="11.85546875" style="6" customWidth="1"/>
    <col min="5895" max="5895" width="8.85546875" style="6"/>
    <col min="5896" max="5897" width="15.85546875" style="6" customWidth="1"/>
    <col min="5898" max="5898" width="16" style="6" customWidth="1"/>
    <col min="5899" max="5899" width="13.140625" style="6" customWidth="1"/>
    <col min="5900" max="5900" width="8.85546875" style="6"/>
    <col min="5901" max="5901" width="17.42578125" style="6" customWidth="1"/>
    <col min="5902" max="5902" width="15.42578125" style="6" customWidth="1"/>
    <col min="5903" max="5903" width="10.85546875" style="6" customWidth="1"/>
    <col min="5904" max="5904" width="8.85546875" style="6"/>
    <col min="5905" max="5905" width="17.42578125" style="6" customWidth="1"/>
    <col min="5906" max="5906" width="16.85546875" style="6" customWidth="1"/>
    <col min="5907" max="5907" width="12" style="6" customWidth="1"/>
    <col min="5908" max="5908" width="8.85546875" style="6"/>
    <col min="5909" max="5909" width="17.42578125" style="6" customWidth="1"/>
    <col min="5910" max="5910" width="16.85546875" style="6" customWidth="1"/>
    <col min="5911" max="5911" width="12" style="6" customWidth="1"/>
    <col min="5912" max="6142" width="8.85546875" style="6"/>
    <col min="6143" max="6143" width="29" style="6" customWidth="1"/>
    <col min="6144" max="6148" width="10.42578125" style="6" customWidth="1"/>
    <col min="6149" max="6149" width="8.85546875" style="6"/>
    <col min="6150" max="6150" width="11.85546875" style="6" customWidth="1"/>
    <col min="6151" max="6151" width="8.85546875" style="6"/>
    <col min="6152" max="6153" width="15.85546875" style="6" customWidth="1"/>
    <col min="6154" max="6154" width="16" style="6" customWidth="1"/>
    <col min="6155" max="6155" width="13.140625" style="6" customWidth="1"/>
    <col min="6156" max="6156" width="8.85546875" style="6"/>
    <col min="6157" max="6157" width="17.42578125" style="6" customWidth="1"/>
    <col min="6158" max="6158" width="15.42578125" style="6" customWidth="1"/>
    <col min="6159" max="6159" width="10.85546875" style="6" customWidth="1"/>
    <col min="6160" max="6160" width="8.85546875" style="6"/>
    <col min="6161" max="6161" width="17.42578125" style="6" customWidth="1"/>
    <col min="6162" max="6162" width="16.85546875" style="6" customWidth="1"/>
    <col min="6163" max="6163" width="12" style="6" customWidth="1"/>
    <col min="6164" max="6164" width="8.85546875" style="6"/>
    <col min="6165" max="6165" width="17.42578125" style="6" customWidth="1"/>
    <col min="6166" max="6166" width="16.85546875" style="6" customWidth="1"/>
    <col min="6167" max="6167" width="12" style="6" customWidth="1"/>
    <col min="6168" max="6398" width="8.85546875" style="6"/>
    <col min="6399" max="6399" width="29" style="6" customWidth="1"/>
    <col min="6400" max="6404" width="10.42578125" style="6" customWidth="1"/>
    <col min="6405" max="6405" width="8.85546875" style="6"/>
    <col min="6406" max="6406" width="11.85546875" style="6" customWidth="1"/>
    <col min="6407" max="6407" width="8.85546875" style="6"/>
    <col min="6408" max="6409" width="15.85546875" style="6" customWidth="1"/>
    <col min="6410" max="6410" width="16" style="6" customWidth="1"/>
    <col min="6411" max="6411" width="13.140625" style="6" customWidth="1"/>
    <col min="6412" max="6412" width="8.85546875" style="6"/>
    <col min="6413" max="6413" width="17.42578125" style="6" customWidth="1"/>
    <col min="6414" max="6414" width="15.42578125" style="6" customWidth="1"/>
    <col min="6415" max="6415" width="10.85546875" style="6" customWidth="1"/>
    <col min="6416" max="6416" width="8.85546875" style="6"/>
    <col min="6417" max="6417" width="17.42578125" style="6" customWidth="1"/>
    <col min="6418" max="6418" width="16.85546875" style="6" customWidth="1"/>
    <col min="6419" max="6419" width="12" style="6" customWidth="1"/>
    <col min="6420" max="6420" width="8.85546875" style="6"/>
    <col min="6421" max="6421" width="17.42578125" style="6" customWidth="1"/>
    <col min="6422" max="6422" width="16.85546875" style="6" customWidth="1"/>
    <col min="6423" max="6423" width="12" style="6" customWidth="1"/>
    <col min="6424" max="6654" width="8.85546875" style="6"/>
    <col min="6655" max="6655" width="29" style="6" customWidth="1"/>
    <col min="6656" max="6660" width="10.42578125" style="6" customWidth="1"/>
    <col min="6661" max="6661" width="8.85546875" style="6"/>
    <col min="6662" max="6662" width="11.85546875" style="6" customWidth="1"/>
    <col min="6663" max="6663" width="8.85546875" style="6"/>
    <col min="6664" max="6665" width="15.85546875" style="6" customWidth="1"/>
    <col min="6666" max="6666" width="16" style="6" customWidth="1"/>
    <col min="6667" max="6667" width="13.140625" style="6" customWidth="1"/>
    <col min="6668" max="6668" width="8.85546875" style="6"/>
    <col min="6669" max="6669" width="17.42578125" style="6" customWidth="1"/>
    <col min="6670" max="6670" width="15.42578125" style="6" customWidth="1"/>
    <col min="6671" max="6671" width="10.85546875" style="6" customWidth="1"/>
    <col min="6672" max="6672" width="8.85546875" style="6"/>
    <col min="6673" max="6673" width="17.42578125" style="6" customWidth="1"/>
    <col min="6674" max="6674" width="16.85546875" style="6" customWidth="1"/>
    <col min="6675" max="6675" width="12" style="6" customWidth="1"/>
    <col min="6676" max="6676" width="8.85546875" style="6"/>
    <col min="6677" max="6677" width="17.42578125" style="6" customWidth="1"/>
    <col min="6678" max="6678" width="16.85546875" style="6" customWidth="1"/>
    <col min="6679" max="6679" width="12" style="6" customWidth="1"/>
    <col min="6680" max="6910" width="8.85546875" style="6"/>
    <col min="6911" max="6911" width="29" style="6" customWidth="1"/>
    <col min="6912" max="6916" width="10.42578125" style="6" customWidth="1"/>
    <col min="6917" max="6917" width="8.85546875" style="6"/>
    <col min="6918" max="6918" width="11.85546875" style="6" customWidth="1"/>
    <col min="6919" max="6919" width="8.85546875" style="6"/>
    <col min="6920" max="6921" width="15.85546875" style="6" customWidth="1"/>
    <col min="6922" max="6922" width="16" style="6" customWidth="1"/>
    <col min="6923" max="6923" width="13.140625" style="6" customWidth="1"/>
    <col min="6924" max="6924" width="8.85546875" style="6"/>
    <col min="6925" max="6925" width="17.42578125" style="6" customWidth="1"/>
    <col min="6926" max="6926" width="15.42578125" style="6" customWidth="1"/>
    <col min="6927" max="6927" width="10.85546875" style="6" customWidth="1"/>
    <col min="6928" max="6928" width="8.85546875" style="6"/>
    <col min="6929" max="6929" width="17.42578125" style="6" customWidth="1"/>
    <col min="6930" max="6930" width="16.85546875" style="6" customWidth="1"/>
    <col min="6931" max="6931" width="12" style="6" customWidth="1"/>
    <col min="6932" max="6932" width="8.85546875" style="6"/>
    <col min="6933" max="6933" width="17.42578125" style="6" customWidth="1"/>
    <col min="6934" max="6934" width="16.85546875" style="6" customWidth="1"/>
    <col min="6935" max="6935" width="12" style="6" customWidth="1"/>
    <col min="6936" max="7166" width="8.85546875" style="6"/>
    <col min="7167" max="7167" width="29" style="6" customWidth="1"/>
    <col min="7168" max="7172" width="10.42578125" style="6" customWidth="1"/>
    <col min="7173" max="7173" width="8.85546875" style="6"/>
    <col min="7174" max="7174" width="11.85546875" style="6" customWidth="1"/>
    <col min="7175" max="7175" width="8.85546875" style="6"/>
    <col min="7176" max="7177" width="15.85546875" style="6" customWidth="1"/>
    <col min="7178" max="7178" width="16" style="6" customWidth="1"/>
    <col min="7179" max="7179" width="13.140625" style="6" customWidth="1"/>
    <col min="7180" max="7180" width="8.85546875" style="6"/>
    <col min="7181" max="7181" width="17.42578125" style="6" customWidth="1"/>
    <col min="7182" max="7182" width="15.42578125" style="6" customWidth="1"/>
    <col min="7183" max="7183" width="10.85546875" style="6" customWidth="1"/>
    <col min="7184" max="7184" width="8.85546875" style="6"/>
    <col min="7185" max="7185" width="17.42578125" style="6" customWidth="1"/>
    <col min="7186" max="7186" width="16.85546875" style="6" customWidth="1"/>
    <col min="7187" max="7187" width="12" style="6" customWidth="1"/>
    <col min="7188" max="7188" width="8.85546875" style="6"/>
    <col min="7189" max="7189" width="17.42578125" style="6" customWidth="1"/>
    <col min="7190" max="7190" width="16.85546875" style="6" customWidth="1"/>
    <col min="7191" max="7191" width="12" style="6" customWidth="1"/>
    <col min="7192" max="7422" width="8.85546875" style="6"/>
    <col min="7423" max="7423" width="29" style="6" customWidth="1"/>
    <col min="7424" max="7428" width="10.42578125" style="6" customWidth="1"/>
    <col min="7429" max="7429" width="8.85546875" style="6"/>
    <col min="7430" max="7430" width="11.85546875" style="6" customWidth="1"/>
    <col min="7431" max="7431" width="8.85546875" style="6"/>
    <col min="7432" max="7433" width="15.85546875" style="6" customWidth="1"/>
    <col min="7434" max="7434" width="16" style="6" customWidth="1"/>
    <col min="7435" max="7435" width="13.140625" style="6" customWidth="1"/>
    <col min="7436" max="7436" width="8.85546875" style="6"/>
    <col min="7437" max="7437" width="17.42578125" style="6" customWidth="1"/>
    <col min="7438" max="7438" width="15.42578125" style="6" customWidth="1"/>
    <col min="7439" max="7439" width="10.85546875" style="6" customWidth="1"/>
    <col min="7440" max="7440" width="8.85546875" style="6"/>
    <col min="7441" max="7441" width="17.42578125" style="6" customWidth="1"/>
    <col min="7442" max="7442" width="16.85546875" style="6" customWidth="1"/>
    <col min="7443" max="7443" width="12" style="6" customWidth="1"/>
    <col min="7444" max="7444" width="8.85546875" style="6"/>
    <col min="7445" max="7445" width="17.42578125" style="6" customWidth="1"/>
    <col min="7446" max="7446" width="16.85546875" style="6" customWidth="1"/>
    <col min="7447" max="7447" width="12" style="6" customWidth="1"/>
    <col min="7448" max="7678" width="8.85546875" style="6"/>
    <col min="7679" max="7679" width="29" style="6" customWidth="1"/>
    <col min="7680" max="7684" width="10.42578125" style="6" customWidth="1"/>
    <col min="7685" max="7685" width="8.85546875" style="6"/>
    <col min="7686" max="7686" width="11.85546875" style="6" customWidth="1"/>
    <col min="7687" max="7687" width="8.85546875" style="6"/>
    <col min="7688" max="7689" width="15.85546875" style="6" customWidth="1"/>
    <col min="7690" max="7690" width="16" style="6" customWidth="1"/>
    <col min="7691" max="7691" width="13.140625" style="6" customWidth="1"/>
    <col min="7692" max="7692" width="8.85546875" style="6"/>
    <col min="7693" max="7693" width="17.42578125" style="6" customWidth="1"/>
    <col min="7694" max="7694" width="15.42578125" style="6" customWidth="1"/>
    <col min="7695" max="7695" width="10.85546875" style="6" customWidth="1"/>
    <col min="7696" max="7696" width="8.85546875" style="6"/>
    <col min="7697" max="7697" width="17.42578125" style="6" customWidth="1"/>
    <col min="7698" max="7698" width="16.85546875" style="6" customWidth="1"/>
    <col min="7699" max="7699" width="12" style="6" customWidth="1"/>
    <col min="7700" max="7700" width="8.85546875" style="6"/>
    <col min="7701" max="7701" width="17.42578125" style="6" customWidth="1"/>
    <col min="7702" max="7702" width="16.85546875" style="6" customWidth="1"/>
    <col min="7703" max="7703" width="12" style="6" customWidth="1"/>
    <col min="7704" max="7934" width="8.85546875" style="6"/>
    <col min="7935" max="7935" width="29" style="6" customWidth="1"/>
    <col min="7936" max="7940" width="10.42578125" style="6" customWidth="1"/>
    <col min="7941" max="7941" width="8.85546875" style="6"/>
    <col min="7942" max="7942" width="11.85546875" style="6" customWidth="1"/>
    <col min="7943" max="7943" width="8.85546875" style="6"/>
    <col min="7944" max="7945" width="15.85546875" style="6" customWidth="1"/>
    <col min="7946" max="7946" width="16" style="6" customWidth="1"/>
    <col min="7947" max="7947" width="13.140625" style="6" customWidth="1"/>
    <col min="7948" max="7948" width="8.85546875" style="6"/>
    <col min="7949" max="7949" width="17.42578125" style="6" customWidth="1"/>
    <col min="7950" max="7950" width="15.42578125" style="6" customWidth="1"/>
    <col min="7951" max="7951" width="10.85546875" style="6" customWidth="1"/>
    <col min="7952" max="7952" width="8.85546875" style="6"/>
    <col min="7953" max="7953" width="17.42578125" style="6" customWidth="1"/>
    <col min="7954" max="7954" width="16.85546875" style="6" customWidth="1"/>
    <col min="7955" max="7955" width="12" style="6" customWidth="1"/>
    <col min="7956" max="7956" width="8.85546875" style="6"/>
    <col min="7957" max="7957" width="17.42578125" style="6" customWidth="1"/>
    <col min="7958" max="7958" width="16.85546875" style="6" customWidth="1"/>
    <col min="7959" max="7959" width="12" style="6" customWidth="1"/>
    <col min="7960" max="8190" width="8.85546875" style="6"/>
    <col min="8191" max="8191" width="29" style="6" customWidth="1"/>
    <col min="8192" max="8196" width="10.42578125" style="6" customWidth="1"/>
    <col min="8197" max="8197" width="8.85546875" style="6"/>
    <col min="8198" max="8198" width="11.85546875" style="6" customWidth="1"/>
    <col min="8199" max="8199" width="8.85546875" style="6"/>
    <col min="8200" max="8201" width="15.85546875" style="6" customWidth="1"/>
    <col min="8202" max="8202" width="16" style="6" customWidth="1"/>
    <col min="8203" max="8203" width="13.140625" style="6" customWidth="1"/>
    <col min="8204" max="8204" width="8.85546875" style="6"/>
    <col min="8205" max="8205" width="17.42578125" style="6" customWidth="1"/>
    <col min="8206" max="8206" width="15.42578125" style="6" customWidth="1"/>
    <col min="8207" max="8207" width="10.85546875" style="6" customWidth="1"/>
    <col min="8208" max="8208" width="8.85546875" style="6"/>
    <col min="8209" max="8209" width="17.42578125" style="6" customWidth="1"/>
    <col min="8210" max="8210" width="16.85546875" style="6" customWidth="1"/>
    <col min="8211" max="8211" width="12" style="6" customWidth="1"/>
    <col min="8212" max="8212" width="8.85546875" style="6"/>
    <col min="8213" max="8213" width="17.42578125" style="6" customWidth="1"/>
    <col min="8214" max="8214" width="16.85546875" style="6" customWidth="1"/>
    <col min="8215" max="8215" width="12" style="6" customWidth="1"/>
    <col min="8216" max="8446" width="8.85546875" style="6"/>
    <col min="8447" max="8447" width="29" style="6" customWidth="1"/>
    <col min="8448" max="8452" width="10.42578125" style="6" customWidth="1"/>
    <col min="8453" max="8453" width="8.85546875" style="6"/>
    <col min="8454" max="8454" width="11.85546875" style="6" customWidth="1"/>
    <col min="8455" max="8455" width="8.85546875" style="6"/>
    <col min="8456" max="8457" width="15.85546875" style="6" customWidth="1"/>
    <col min="8458" max="8458" width="16" style="6" customWidth="1"/>
    <col min="8459" max="8459" width="13.140625" style="6" customWidth="1"/>
    <col min="8460" max="8460" width="8.85546875" style="6"/>
    <col min="8461" max="8461" width="17.42578125" style="6" customWidth="1"/>
    <col min="8462" max="8462" width="15.42578125" style="6" customWidth="1"/>
    <col min="8463" max="8463" width="10.85546875" style="6" customWidth="1"/>
    <col min="8464" max="8464" width="8.85546875" style="6"/>
    <col min="8465" max="8465" width="17.42578125" style="6" customWidth="1"/>
    <col min="8466" max="8466" width="16.85546875" style="6" customWidth="1"/>
    <col min="8467" max="8467" width="12" style="6" customWidth="1"/>
    <col min="8468" max="8468" width="8.85546875" style="6"/>
    <col min="8469" max="8469" width="17.42578125" style="6" customWidth="1"/>
    <col min="8470" max="8470" width="16.85546875" style="6" customWidth="1"/>
    <col min="8471" max="8471" width="12" style="6" customWidth="1"/>
    <col min="8472" max="8702" width="8.85546875" style="6"/>
    <col min="8703" max="8703" width="29" style="6" customWidth="1"/>
    <col min="8704" max="8708" width="10.42578125" style="6" customWidth="1"/>
    <col min="8709" max="8709" width="8.85546875" style="6"/>
    <col min="8710" max="8710" width="11.85546875" style="6" customWidth="1"/>
    <col min="8711" max="8711" width="8.85546875" style="6"/>
    <col min="8712" max="8713" width="15.85546875" style="6" customWidth="1"/>
    <col min="8714" max="8714" width="16" style="6" customWidth="1"/>
    <col min="8715" max="8715" width="13.140625" style="6" customWidth="1"/>
    <col min="8716" max="8716" width="8.85546875" style="6"/>
    <col min="8717" max="8717" width="17.42578125" style="6" customWidth="1"/>
    <col min="8718" max="8718" width="15.42578125" style="6" customWidth="1"/>
    <col min="8719" max="8719" width="10.85546875" style="6" customWidth="1"/>
    <col min="8720" max="8720" width="8.85546875" style="6"/>
    <col min="8721" max="8721" width="17.42578125" style="6" customWidth="1"/>
    <col min="8722" max="8722" width="16.85546875" style="6" customWidth="1"/>
    <col min="8723" max="8723" width="12" style="6" customWidth="1"/>
    <col min="8724" max="8724" width="8.85546875" style="6"/>
    <col min="8725" max="8725" width="17.42578125" style="6" customWidth="1"/>
    <col min="8726" max="8726" width="16.85546875" style="6" customWidth="1"/>
    <col min="8727" max="8727" width="12" style="6" customWidth="1"/>
    <col min="8728" max="8958" width="8.85546875" style="6"/>
    <col min="8959" max="8959" width="29" style="6" customWidth="1"/>
    <col min="8960" max="8964" width="10.42578125" style="6" customWidth="1"/>
    <col min="8965" max="8965" width="8.85546875" style="6"/>
    <col min="8966" max="8966" width="11.85546875" style="6" customWidth="1"/>
    <col min="8967" max="8967" width="8.85546875" style="6"/>
    <col min="8968" max="8969" width="15.85546875" style="6" customWidth="1"/>
    <col min="8970" max="8970" width="16" style="6" customWidth="1"/>
    <col min="8971" max="8971" width="13.140625" style="6" customWidth="1"/>
    <col min="8972" max="8972" width="8.85546875" style="6"/>
    <col min="8973" max="8973" width="17.42578125" style="6" customWidth="1"/>
    <col min="8974" max="8974" width="15.42578125" style="6" customWidth="1"/>
    <col min="8975" max="8975" width="10.85546875" style="6" customWidth="1"/>
    <col min="8976" max="8976" width="8.85546875" style="6"/>
    <col min="8977" max="8977" width="17.42578125" style="6" customWidth="1"/>
    <col min="8978" max="8978" width="16.85546875" style="6" customWidth="1"/>
    <col min="8979" max="8979" width="12" style="6" customWidth="1"/>
    <col min="8980" max="8980" width="8.85546875" style="6"/>
    <col min="8981" max="8981" width="17.42578125" style="6" customWidth="1"/>
    <col min="8982" max="8982" width="16.85546875" style="6" customWidth="1"/>
    <col min="8983" max="8983" width="12" style="6" customWidth="1"/>
    <col min="8984" max="9214" width="8.85546875" style="6"/>
    <col min="9215" max="9215" width="29" style="6" customWidth="1"/>
    <col min="9216" max="9220" width="10.42578125" style="6" customWidth="1"/>
    <col min="9221" max="9221" width="8.85546875" style="6"/>
    <col min="9222" max="9222" width="11.85546875" style="6" customWidth="1"/>
    <col min="9223" max="9223" width="8.85546875" style="6"/>
    <col min="9224" max="9225" width="15.85546875" style="6" customWidth="1"/>
    <col min="9226" max="9226" width="16" style="6" customWidth="1"/>
    <col min="9227" max="9227" width="13.140625" style="6" customWidth="1"/>
    <col min="9228" max="9228" width="8.85546875" style="6"/>
    <col min="9229" max="9229" width="17.42578125" style="6" customWidth="1"/>
    <col min="9230" max="9230" width="15.42578125" style="6" customWidth="1"/>
    <col min="9231" max="9231" width="10.85546875" style="6" customWidth="1"/>
    <col min="9232" max="9232" width="8.85546875" style="6"/>
    <col min="9233" max="9233" width="17.42578125" style="6" customWidth="1"/>
    <col min="9234" max="9234" width="16.85546875" style="6" customWidth="1"/>
    <col min="9235" max="9235" width="12" style="6" customWidth="1"/>
    <col min="9236" max="9236" width="8.85546875" style="6"/>
    <col min="9237" max="9237" width="17.42578125" style="6" customWidth="1"/>
    <col min="9238" max="9238" width="16.85546875" style="6" customWidth="1"/>
    <col min="9239" max="9239" width="12" style="6" customWidth="1"/>
    <col min="9240" max="9470" width="8.85546875" style="6"/>
    <col min="9471" max="9471" width="29" style="6" customWidth="1"/>
    <col min="9472" max="9476" width="10.42578125" style="6" customWidth="1"/>
    <col min="9477" max="9477" width="8.85546875" style="6"/>
    <col min="9478" max="9478" width="11.85546875" style="6" customWidth="1"/>
    <col min="9479" max="9479" width="8.85546875" style="6"/>
    <col min="9480" max="9481" width="15.85546875" style="6" customWidth="1"/>
    <col min="9482" max="9482" width="16" style="6" customWidth="1"/>
    <col min="9483" max="9483" width="13.140625" style="6" customWidth="1"/>
    <col min="9484" max="9484" width="8.85546875" style="6"/>
    <col min="9485" max="9485" width="17.42578125" style="6" customWidth="1"/>
    <col min="9486" max="9486" width="15.42578125" style="6" customWidth="1"/>
    <col min="9487" max="9487" width="10.85546875" style="6" customWidth="1"/>
    <col min="9488" max="9488" width="8.85546875" style="6"/>
    <col min="9489" max="9489" width="17.42578125" style="6" customWidth="1"/>
    <col min="9490" max="9490" width="16.85546875" style="6" customWidth="1"/>
    <col min="9491" max="9491" width="12" style="6" customWidth="1"/>
    <col min="9492" max="9492" width="8.85546875" style="6"/>
    <col min="9493" max="9493" width="17.42578125" style="6" customWidth="1"/>
    <col min="9494" max="9494" width="16.85546875" style="6" customWidth="1"/>
    <col min="9495" max="9495" width="12" style="6" customWidth="1"/>
    <col min="9496" max="9726" width="8.85546875" style="6"/>
    <col min="9727" max="9727" width="29" style="6" customWidth="1"/>
    <col min="9728" max="9732" width="10.42578125" style="6" customWidth="1"/>
    <col min="9733" max="9733" width="8.85546875" style="6"/>
    <col min="9734" max="9734" width="11.85546875" style="6" customWidth="1"/>
    <col min="9735" max="9735" width="8.85546875" style="6"/>
    <col min="9736" max="9737" width="15.85546875" style="6" customWidth="1"/>
    <col min="9738" max="9738" width="16" style="6" customWidth="1"/>
    <col min="9739" max="9739" width="13.140625" style="6" customWidth="1"/>
    <col min="9740" max="9740" width="8.85546875" style="6"/>
    <col min="9741" max="9741" width="17.42578125" style="6" customWidth="1"/>
    <col min="9742" max="9742" width="15.42578125" style="6" customWidth="1"/>
    <col min="9743" max="9743" width="10.85546875" style="6" customWidth="1"/>
    <col min="9744" max="9744" width="8.85546875" style="6"/>
    <col min="9745" max="9745" width="17.42578125" style="6" customWidth="1"/>
    <col min="9746" max="9746" width="16.85546875" style="6" customWidth="1"/>
    <col min="9747" max="9747" width="12" style="6" customWidth="1"/>
    <col min="9748" max="9748" width="8.85546875" style="6"/>
    <col min="9749" max="9749" width="17.42578125" style="6" customWidth="1"/>
    <col min="9750" max="9750" width="16.85546875" style="6" customWidth="1"/>
    <col min="9751" max="9751" width="12" style="6" customWidth="1"/>
    <col min="9752" max="9982" width="8.85546875" style="6"/>
    <col min="9983" max="9983" width="29" style="6" customWidth="1"/>
    <col min="9984" max="9988" width="10.42578125" style="6" customWidth="1"/>
    <col min="9989" max="9989" width="8.85546875" style="6"/>
    <col min="9990" max="9990" width="11.85546875" style="6" customWidth="1"/>
    <col min="9991" max="9991" width="8.85546875" style="6"/>
    <col min="9992" max="9993" width="15.85546875" style="6" customWidth="1"/>
    <col min="9994" max="9994" width="16" style="6" customWidth="1"/>
    <col min="9995" max="9995" width="13.140625" style="6" customWidth="1"/>
    <col min="9996" max="9996" width="8.85546875" style="6"/>
    <col min="9997" max="9997" width="17.42578125" style="6" customWidth="1"/>
    <col min="9998" max="9998" width="15.42578125" style="6" customWidth="1"/>
    <col min="9999" max="9999" width="10.85546875" style="6" customWidth="1"/>
    <col min="10000" max="10000" width="8.85546875" style="6"/>
    <col min="10001" max="10001" width="17.42578125" style="6" customWidth="1"/>
    <col min="10002" max="10002" width="16.85546875" style="6" customWidth="1"/>
    <col min="10003" max="10003" width="12" style="6" customWidth="1"/>
    <col min="10004" max="10004" width="8.85546875" style="6"/>
    <col min="10005" max="10005" width="17.42578125" style="6" customWidth="1"/>
    <col min="10006" max="10006" width="16.85546875" style="6" customWidth="1"/>
    <col min="10007" max="10007" width="12" style="6" customWidth="1"/>
    <col min="10008" max="10238" width="8.85546875" style="6"/>
    <col min="10239" max="10239" width="29" style="6" customWidth="1"/>
    <col min="10240" max="10244" width="10.42578125" style="6" customWidth="1"/>
    <col min="10245" max="10245" width="8.85546875" style="6"/>
    <col min="10246" max="10246" width="11.85546875" style="6" customWidth="1"/>
    <col min="10247" max="10247" width="8.85546875" style="6"/>
    <col min="10248" max="10249" width="15.85546875" style="6" customWidth="1"/>
    <col min="10250" max="10250" width="16" style="6" customWidth="1"/>
    <col min="10251" max="10251" width="13.140625" style="6" customWidth="1"/>
    <col min="10252" max="10252" width="8.85546875" style="6"/>
    <col min="10253" max="10253" width="17.42578125" style="6" customWidth="1"/>
    <col min="10254" max="10254" width="15.42578125" style="6" customWidth="1"/>
    <col min="10255" max="10255" width="10.85546875" style="6" customWidth="1"/>
    <col min="10256" max="10256" width="8.85546875" style="6"/>
    <col min="10257" max="10257" width="17.42578125" style="6" customWidth="1"/>
    <col min="10258" max="10258" width="16.85546875" style="6" customWidth="1"/>
    <col min="10259" max="10259" width="12" style="6" customWidth="1"/>
    <col min="10260" max="10260" width="8.85546875" style="6"/>
    <col min="10261" max="10261" width="17.42578125" style="6" customWidth="1"/>
    <col min="10262" max="10262" width="16.85546875" style="6" customWidth="1"/>
    <col min="10263" max="10263" width="12" style="6" customWidth="1"/>
    <col min="10264" max="10494" width="8.85546875" style="6"/>
    <col min="10495" max="10495" width="29" style="6" customWidth="1"/>
    <col min="10496" max="10500" width="10.42578125" style="6" customWidth="1"/>
    <col min="10501" max="10501" width="8.85546875" style="6"/>
    <col min="10502" max="10502" width="11.85546875" style="6" customWidth="1"/>
    <col min="10503" max="10503" width="8.85546875" style="6"/>
    <col min="10504" max="10505" width="15.85546875" style="6" customWidth="1"/>
    <col min="10506" max="10506" width="16" style="6" customWidth="1"/>
    <col min="10507" max="10507" width="13.140625" style="6" customWidth="1"/>
    <col min="10508" max="10508" width="8.85546875" style="6"/>
    <col min="10509" max="10509" width="17.42578125" style="6" customWidth="1"/>
    <col min="10510" max="10510" width="15.42578125" style="6" customWidth="1"/>
    <col min="10511" max="10511" width="10.85546875" style="6" customWidth="1"/>
    <col min="10512" max="10512" width="8.85546875" style="6"/>
    <col min="10513" max="10513" width="17.42578125" style="6" customWidth="1"/>
    <col min="10514" max="10514" width="16.85546875" style="6" customWidth="1"/>
    <col min="10515" max="10515" width="12" style="6" customWidth="1"/>
    <col min="10516" max="10516" width="8.85546875" style="6"/>
    <col min="10517" max="10517" width="17.42578125" style="6" customWidth="1"/>
    <col min="10518" max="10518" width="16.85546875" style="6" customWidth="1"/>
    <col min="10519" max="10519" width="12" style="6" customWidth="1"/>
    <col min="10520" max="10750" width="8.85546875" style="6"/>
    <col min="10751" max="10751" width="29" style="6" customWidth="1"/>
    <col min="10752" max="10756" width="10.42578125" style="6" customWidth="1"/>
    <col min="10757" max="10757" width="8.85546875" style="6"/>
    <col min="10758" max="10758" width="11.85546875" style="6" customWidth="1"/>
    <col min="10759" max="10759" width="8.85546875" style="6"/>
    <col min="10760" max="10761" width="15.85546875" style="6" customWidth="1"/>
    <col min="10762" max="10762" width="16" style="6" customWidth="1"/>
    <col min="10763" max="10763" width="13.140625" style="6" customWidth="1"/>
    <col min="10764" max="10764" width="8.85546875" style="6"/>
    <col min="10765" max="10765" width="17.42578125" style="6" customWidth="1"/>
    <col min="10766" max="10766" width="15.42578125" style="6" customWidth="1"/>
    <col min="10767" max="10767" width="10.85546875" style="6" customWidth="1"/>
    <col min="10768" max="10768" width="8.85546875" style="6"/>
    <col min="10769" max="10769" width="17.42578125" style="6" customWidth="1"/>
    <col min="10770" max="10770" width="16.85546875" style="6" customWidth="1"/>
    <col min="10771" max="10771" width="12" style="6" customWidth="1"/>
    <col min="10772" max="10772" width="8.85546875" style="6"/>
    <col min="10773" max="10773" width="17.42578125" style="6" customWidth="1"/>
    <col min="10774" max="10774" width="16.85546875" style="6" customWidth="1"/>
    <col min="10775" max="10775" width="12" style="6" customWidth="1"/>
    <col min="10776" max="11006" width="8.85546875" style="6"/>
    <col min="11007" max="11007" width="29" style="6" customWidth="1"/>
    <col min="11008" max="11012" width="10.42578125" style="6" customWidth="1"/>
    <col min="11013" max="11013" width="8.85546875" style="6"/>
    <col min="11014" max="11014" width="11.85546875" style="6" customWidth="1"/>
    <col min="11015" max="11015" width="8.85546875" style="6"/>
    <col min="11016" max="11017" width="15.85546875" style="6" customWidth="1"/>
    <col min="11018" max="11018" width="16" style="6" customWidth="1"/>
    <col min="11019" max="11019" width="13.140625" style="6" customWidth="1"/>
    <col min="11020" max="11020" width="8.85546875" style="6"/>
    <col min="11021" max="11021" width="17.42578125" style="6" customWidth="1"/>
    <col min="11022" max="11022" width="15.42578125" style="6" customWidth="1"/>
    <col min="11023" max="11023" width="10.85546875" style="6" customWidth="1"/>
    <col min="11024" max="11024" width="8.85546875" style="6"/>
    <col min="11025" max="11025" width="17.42578125" style="6" customWidth="1"/>
    <col min="11026" max="11026" width="16.85546875" style="6" customWidth="1"/>
    <col min="11027" max="11027" width="12" style="6" customWidth="1"/>
    <col min="11028" max="11028" width="8.85546875" style="6"/>
    <col min="11029" max="11029" width="17.42578125" style="6" customWidth="1"/>
    <col min="11030" max="11030" width="16.85546875" style="6" customWidth="1"/>
    <col min="11031" max="11031" width="12" style="6" customWidth="1"/>
    <col min="11032" max="11262" width="8.85546875" style="6"/>
    <col min="11263" max="11263" width="29" style="6" customWidth="1"/>
    <col min="11264" max="11268" width="10.42578125" style="6" customWidth="1"/>
    <col min="11269" max="11269" width="8.85546875" style="6"/>
    <col min="11270" max="11270" width="11.85546875" style="6" customWidth="1"/>
    <col min="11271" max="11271" width="8.85546875" style="6"/>
    <col min="11272" max="11273" width="15.85546875" style="6" customWidth="1"/>
    <col min="11274" max="11274" width="16" style="6" customWidth="1"/>
    <col min="11275" max="11275" width="13.140625" style="6" customWidth="1"/>
    <col min="11276" max="11276" width="8.85546875" style="6"/>
    <col min="11277" max="11277" width="17.42578125" style="6" customWidth="1"/>
    <col min="11278" max="11278" width="15.42578125" style="6" customWidth="1"/>
    <col min="11279" max="11279" width="10.85546875" style="6" customWidth="1"/>
    <col min="11280" max="11280" width="8.85546875" style="6"/>
    <col min="11281" max="11281" width="17.42578125" style="6" customWidth="1"/>
    <col min="11282" max="11282" width="16.85546875" style="6" customWidth="1"/>
    <col min="11283" max="11283" width="12" style="6" customWidth="1"/>
    <col min="11284" max="11284" width="8.85546875" style="6"/>
    <col min="11285" max="11285" width="17.42578125" style="6" customWidth="1"/>
    <col min="11286" max="11286" width="16.85546875" style="6" customWidth="1"/>
    <col min="11287" max="11287" width="12" style="6" customWidth="1"/>
    <col min="11288" max="11518" width="8.85546875" style="6"/>
    <col min="11519" max="11519" width="29" style="6" customWidth="1"/>
    <col min="11520" max="11524" width="10.42578125" style="6" customWidth="1"/>
    <col min="11525" max="11525" width="8.85546875" style="6"/>
    <col min="11526" max="11526" width="11.85546875" style="6" customWidth="1"/>
    <col min="11527" max="11527" width="8.85546875" style="6"/>
    <col min="11528" max="11529" width="15.85546875" style="6" customWidth="1"/>
    <col min="11530" max="11530" width="16" style="6" customWidth="1"/>
    <col min="11531" max="11531" width="13.140625" style="6" customWidth="1"/>
    <col min="11532" max="11532" width="8.85546875" style="6"/>
    <col min="11533" max="11533" width="17.42578125" style="6" customWidth="1"/>
    <col min="11534" max="11534" width="15.42578125" style="6" customWidth="1"/>
    <col min="11535" max="11535" width="10.85546875" style="6" customWidth="1"/>
    <col min="11536" max="11536" width="8.85546875" style="6"/>
    <col min="11537" max="11537" width="17.42578125" style="6" customWidth="1"/>
    <col min="11538" max="11538" width="16.85546875" style="6" customWidth="1"/>
    <col min="11539" max="11539" width="12" style="6" customWidth="1"/>
    <col min="11540" max="11540" width="8.85546875" style="6"/>
    <col min="11541" max="11541" width="17.42578125" style="6" customWidth="1"/>
    <col min="11542" max="11542" width="16.85546875" style="6" customWidth="1"/>
    <col min="11543" max="11543" width="12" style="6" customWidth="1"/>
    <col min="11544" max="11774" width="8.85546875" style="6"/>
    <col min="11775" max="11775" width="29" style="6" customWidth="1"/>
    <col min="11776" max="11780" width="10.42578125" style="6" customWidth="1"/>
    <col min="11781" max="11781" width="8.85546875" style="6"/>
    <col min="11782" max="11782" width="11.85546875" style="6" customWidth="1"/>
    <col min="11783" max="11783" width="8.85546875" style="6"/>
    <col min="11784" max="11785" width="15.85546875" style="6" customWidth="1"/>
    <col min="11786" max="11786" width="16" style="6" customWidth="1"/>
    <col min="11787" max="11787" width="13.140625" style="6" customWidth="1"/>
    <col min="11788" max="11788" width="8.85546875" style="6"/>
    <col min="11789" max="11789" width="17.42578125" style="6" customWidth="1"/>
    <col min="11790" max="11790" width="15.42578125" style="6" customWidth="1"/>
    <col min="11791" max="11791" width="10.85546875" style="6" customWidth="1"/>
    <col min="11792" max="11792" width="8.85546875" style="6"/>
    <col min="11793" max="11793" width="17.42578125" style="6" customWidth="1"/>
    <col min="11794" max="11794" width="16.85546875" style="6" customWidth="1"/>
    <col min="11795" max="11795" width="12" style="6" customWidth="1"/>
    <col min="11796" max="11796" width="8.85546875" style="6"/>
    <col min="11797" max="11797" width="17.42578125" style="6" customWidth="1"/>
    <col min="11798" max="11798" width="16.85546875" style="6" customWidth="1"/>
    <col min="11799" max="11799" width="12" style="6" customWidth="1"/>
    <col min="11800" max="12030" width="8.85546875" style="6"/>
    <col min="12031" max="12031" width="29" style="6" customWidth="1"/>
    <col min="12032" max="12036" width="10.42578125" style="6" customWidth="1"/>
    <col min="12037" max="12037" width="8.85546875" style="6"/>
    <col min="12038" max="12038" width="11.85546875" style="6" customWidth="1"/>
    <col min="12039" max="12039" width="8.85546875" style="6"/>
    <col min="12040" max="12041" width="15.85546875" style="6" customWidth="1"/>
    <col min="12042" max="12042" width="16" style="6" customWidth="1"/>
    <col min="12043" max="12043" width="13.140625" style="6" customWidth="1"/>
    <col min="12044" max="12044" width="8.85546875" style="6"/>
    <col min="12045" max="12045" width="17.42578125" style="6" customWidth="1"/>
    <col min="12046" max="12046" width="15.42578125" style="6" customWidth="1"/>
    <col min="12047" max="12047" width="10.85546875" style="6" customWidth="1"/>
    <col min="12048" max="12048" width="8.85546875" style="6"/>
    <col min="12049" max="12049" width="17.42578125" style="6" customWidth="1"/>
    <col min="12050" max="12050" width="16.85546875" style="6" customWidth="1"/>
    <col min="12051" max="12051" width="12" style="6" customWidth="1"/>
    <col min="12052" max="12052" width="8.85546875" style="6"/>
    <col min="12053" max="12053" width="17.42578125" style="6" customWidth="1"/>
    <col min="12054" max="12054" width="16.85546875" style="6" customWidth="1"/>
    <col min="12055" max="12055" width="12" style="6" customWidth="1"/>
    <col min="12056" max="12286" width="8.85546875" style="6"/>
    <col min="12287" max="12287" width="29" style="6" customWidth="1"/>
    <col min="12288" max="12292" width="10.42578125" style="6" customWidth="1"/>
    <col min="12293" max="12293" width="8.85546875" style="6"/>
    <col min="12294" max="12294" width="11.85546875" style="6" customWidth="1"/>
    <col min="12295" max="12295" width="8.85546875" style="6"/>
    <col min="12296" max="12297" width="15.85546875" style="6" customWidth="1"/>
    <col min="12298" max="12298" width="16" style="6" customWidth="1"/>
    <col min="12299" max="12299" width="13.140625" style="6" customWidth="1"/>
    <col min="12300" max="12300" width="8.85546875" style="6"/>
    <col min="12301" max="12301" width="17.42578125" style="6" customWidth="1"/>
    <col min="12302" max="12302" width="15.42578125" style="6" customWidth="1"/>
    <col min="12303" max="12303" width="10.85546875" style="6" customWidth="1"/>
    <col min="12304" max="12304" width="8.85546875" style="6"/>
    <col min="12305" max="12305" width="17.42578125" style="6" customWidth="1"/>
    <col min="12306" max="12306" width="16.85546875" style="6" customWidth="1"/>
    <col min="12307" max="12307" width="12" style="6" customWidth="1"/>
    <col min="12308" max="12308" width="8.85546875" style="6"/>
    <col min="12309" max="12309" width="17.42578125" style="6" customWidth="1"/>
    <col min="12310" max="12310" width="16.85546875" style="6" customWidth="1"/>
    <col min="12311" max="12311" width="12" style="6" customWidth="1"/>
    <col min="12312" max="12542" width="8.85546875" style="6"/>
    <col min="12543" max="12543" width="29" style="6" customWidth="1"/>
    <col min="12544" max="12548" width="10.42578125" style="6" customWidth="1"/>
    <col min="12549" max="12549" width="8.85546875" style="6"/>
    <col min="12550" max="12550" width="11.85546875" style="6" customWidth="1"/>
    <col min="12551" max="12551" width="8.85546875" style="6"/>
    <col min="12552" max="12553" width="15.85546875" style="6" customWidth="1"/>
    <col min="12554" max="12554" width="16" style="6" customWidth="1"/>
    <col min="12555" max="12555" width="13.140625" style="6" customWidth="1"/>
    <col min="12556" max="12556" width="8.85546875" style="6"/>
    <col min="12557" max="12557" width="17.42578125" style="6" customWidth="1"/>
    <col min="12558" max="12558" width="15.42578125" style="6" customWidth="1"/>
    <col min="12559" max="12559" width="10.85546875" style="6" customWidth="1"/>
    <col min="12560" max="12560" width="8.85546875" style="6"/>
    <col min="12561" max="12561" width="17.42578125" style="6" customWidth="1"/>
    <col min="12562" max="12562" width="16.85546875" style="6" customWidth="1"/>
    <col min="12563" max="12563" width="12" style="6" customWidth="1"/>
    <col min="12564" max="12564" width="8.85546875" style="6"/>
    <col min="12565" max="12565" width="17.42578125" style="6" customWidth="1"/>
    <col min="12566" max="12566" width="16.85546875" style="6" customWidth="1"/>
    <col min="12567" max="12567" width="12" style="6" customWidth="1"/>
    <col min="12568" max="12798" width="8.85546875" style="6"/>
    <col min="12799" max="12799" width="29" style="6" customWidth="1"/>
    <col min="12800" max="12804" width="10.42578125" style="6" customWidth="1"/>
    <col min="12805" max="12805" width="8.85546875" style="6"/>
    <col min="12806" max="12806" width="11.85546875" style="6" customWidth="1"/>
    <col min="12807" max="12807" width="8.85546875" style="6"/>
    <col min="12808" max="12809" width="15.85546875" style="6" customWidth="1"/>
    <col min="12810" max="12810" width="16" style="6" customWidth="1"/>
    <col min="12811" max="12811" width="13.140625" style="6" customWidth="1"/>
    <col min="12812" max="12812" width="8.85546875" style="6"/>
    <col min="12813" max="12813" width="17.42578125" style="6" customWidth="1"/>
    <col min="12814" max="12814" width="15.42578125" style="6" customWidth="1"/>
    <col min="12815" max="12815" width="10.85546875" style="6" customWidth="1"/>
    <col min="12816" max="12816" width="8.85546875" style="6"/>
    <col min="12817" max="12817" width="17.42578125" style="6" customWidth="1"/>
    <col min="12818" max="12818" width="16.85546875" style="6" customWidth="1"/>
    <col min="12819" max="12819" width="12" style="6" customWidth="1"/>
    <col min="12820" max="12820" width="8.85546875" style="6"/>
    <col min="12821" max="12821" width="17.42578125" style="6" customWidth="1"/>
    <col min="12822" max="12822" width="16.85546875" style="6" customWidth="1"/>
    <col min="12823" max="12823" width="12" style="6" customWidth="1"/>
    <col min="12824" max="13054" width="8.85546875" style="6"/>
    <col min="13055" max="13055" width="29" style="6" customWidth="1"/>
    <col min="13056" max="13060" width="10.42578125" style="6" customWidth="1"/>
    <col min="13061" max="13061" width="8.85546875" style="6"/>
    <col min="13062" max="13062" width="11.85546875" style="6" customWidth="1"/>
    <col min="13063" max="13063" width="8.85546875" style="6"/>
    <col min="13064" max="13065" width="15.85546875" style="6" customWidth="1"/>
    <col min="13066" max="13066" width="16" style="6" customWidth="1"/>
    <col min="13067" max="13067" width="13.140625" style="6" customWidth="1"/>
    <col min="13068" max="13068" width="8.85546875" style="6"/>
    <col min="13069" max="13069" width="17.42578125" style="6" customWidth="1"/>
    <col min="13070" max="13070" width="15.42578125" style="6" customWidth="1"/>
    <col min="13071" max="13071" width="10.85546875" style="6" customWidth="1"/>
    <col min="13072" max="13072" width="8.85546875" style="6"/>
    <col min="13073" max="13073" width="17.42578125" style="6" customWidth="1"/>
    <col min="13074" max="13074" width="16.85546875" style="6" customWidth="1"/>
    <col min="13075" max="13075" width="12" style="6" customWidth="1"/>
    <col min="13076" max="13076" width="8.85546875" style="6"/>
    <col min="13077" max="13077" width="17.42578125" style="6" customWidth="1"/>
    <col min="13078" max="13078" width="16.85546875" style="6" customWidth="1"/>
    <col min="13079" max="13079" width="12" style="6" customWidth="1"/>
    <col min="13080" max="13310" width="8.85546875" style="6"/>
    <col min="13311" max="13311" width="29" style="6" customWidth="1"/>
    <col min="13312" max="13316" width="10.42578125" style="6" customWidth="1"/>
    <col min="13317" max="13317" width="8.85546875" style="6"/>
    <col min="13318" max="13318" width="11.85546875" style="6" customWidth="1"/>
    <col min="13319" max="13319" width="8.85546875" style="6"/>
    <col min="13320" max="13321" width="15.85546875" style="6" customWidth="1"/>
    <col min="13322" max="13322" width="16" style="6" customWidth="1"/>
    <col min="13323" max="13323" width="13.140625" style="6" customWidth="1"/>
    <col min="13324" max="13324" width="8.85546875" style="6"/>
    <col min="13325" max="13325" width="17.42578125" style="6" customWidth="1"/>
    <col min="13326" max="13326" width="15.42578125" style="6" customWidth="1"/>
    <col min="13327" max="13327" width="10.85546875" style="6" customWidth="1"/>
    <col min="13328" max="13328" width="8.85546875" style="6"/>
    <col min="13329" max="13329" width="17.42578125" style="6" customWidth="1"/>
    <col min="13330" max="13330" width="16.85546875" style="6" customWidth="1"/>
    <col min="13331" max="13331" width="12" style="6" customWidth="1"/>
    <col min="13332" max="13332" width="8.85546875" style="6"/>
    <col min="13333" max="13333" width="17.42578125" style="6" customWidth="1"/>
    <col min="13334" max="13334" width="16.85546875" style="6" customWidth="1"/>
    <col min="13335" max="13335" width="12" style="6" customWidth="1"/>
    <col min="13336" max="13566" width="8.85546875" style="6"/>
    <col min="13567" max="13567" width="29" style="6" customWidth="1"/>
    <col min="13568" max="13572" width="10.42578125" style="6" customWidth="1"/>
    <col min="13573" max="13573" width="8.85546875" style="6"/>
    <col min="13574" max="13574" width="11.85546875" style="6" customWidth="1"/>
    <col min="13575" max="13575" width="8.85546875" style="6"/>
    <col min="13576" max="13577" width="15.85546875" style="6" customWidth="1"/>
    <col min="13578" max="13578" width="16" style="6" customWidth="1"/>
    <col min="13579" max="13579" width="13.140625" style="6" customWidth="1"/>
    <col min="13580" max="13580" width="8.85546875" style="6"/>
    <col min="13581" max="13581" width="17.42578125" style="6" customWidth="1"/>
    <col min="13582" max="13582" width="15.42578125" style="6" customWidth="1"/>
    <col min="13583" max="13583" width="10.85546875" style="6" customWidth="1"/>
    <col min="13584" max="13584" width="8.85546875" style="6"/>
    <col min="13585" max="13585" width="17.42578125" style="6" customWidth="1"/>
    <col min="13586" max="13586" width="16.85546875" style="6" customWidth="1"/>
    <col min="13587" max="13587" width="12" style="6" customWidth="1"/>
    <col min="13588" max="13588" width="8.85546875" style="6"/>
    <col min="13589" max="13589" width="17.42578125" style="6" customWidth="1"/>
    <col min="13590" max="13590" width="16.85546875" style="6" customWidth="1"/>
    <col min="13591" max="13591" width="12" style="6" customWidth="1"/>
    <col min="13592" max="13822" width="8.85546875" style="6"/>
    <col min="13823" max="13823" width="29" style="6" customWidth="1"/>
    <col min="13824" max="13828" width="10.42578125" style="6" customWidth="1"/>
    <col min="13829" max="13829" width="8.85546875" style="6"/>
    <col min="13830" max="13830" width="11.85546875" style="6" customWidth="1"/>
    <col min="13831" max="13831" width="8.85546875" style="6"/>
    <col min="13832" max="13833" width="15.85546875" style="6" customWidth="1"/>
    <col min="13834" max="13834" width="16" style="6" customWidth="1"/>
    <col min="13835" max="13835" width="13.140625" style="6" customWidth="1"/>
    <col min="13836" max="13836" width="8.85546875" style="6"/>
    <col min="13837" max="13837" width="17.42578125" style="6" customWidth="1"/>
    <col min="13838" max="13838" width="15.42578125" style="6" customWidth="1"/>
    <col min="13839" max="13839" width="10.85546875" style="6" customWidth="1"/>
    <col min="13840" max="13840" width="8.85546875" style="6"/>
    <col min="13841" max="13841" width="17.42578125" style="6" customWidth="1"/>
    <col min="13842" max="13842" width="16.85546875" style="6" customWidth="1"/>
    <col min="13843" max="13843" width="12" style="6" customWidth="1"/>
    <col min="13844" max="13844" width="8.85546875" style="6"/>
    <col min="13845" max="13845" width="17.42578125" style="6" customWidth="1"/>
    <col min="13846" max="13846" width="16.85546875" style="6" customWidth="1"/>
    <col min="13847" max="13847" width="12" style="6" customWidth="1"/>
    <col min="13848" max="14078" width="8.85546875" style="6"/>
    <col min="14079" max="14079" width="29" style="6" customWidth="1"/>
    <col min="14080" max="14084" width="10.42578125" style="6" customWidth="1"/>
    <col min="14085" max="14085" width="8.85546875" style="6"/>
    <col min="14086" max="14086" width="11.85546875" style="6" customWidth="1"/>
    <col min="14087" max="14087" width="8.85546875" style="6"/>
    <col min="14088" max="14089" width="15.85546875" style="6" customWidth="1"/>
    <col min="14090" max="14090" width="16" style="6" customWidth="1"/>
    <col min="14091" max="14091" width="13.140625" style="6" customWidth="1"/>
    <col min="14092" max="14092" width="8.85546875" style="6"/>
    <col min="14093" max="14093" width="17.42578125" style="6" customWidth="1"/>
    <col min="14094" max="14094" width="15.42578125" style="6" customWidth="1"/>
    <col min="14095" max="14095" width="10.85546875" style="6" customWidth="1"/>
    <col min="14096" max="14096" width="8.85546875" style="6"/>
    <col min="14097" max="14097" width="17.42578125" style="6" customWidth="1"/>
    <col min="14098" max="14098" width="16.85546875" style="6" customWidth="1"/>
    <col min="14099" max="14099" width="12" style="6" customWidth="1"/>
    <col min="14100" max="14100" width="8.85546875" style="6"/>
    <col min="14101" max="14101" width="17.42578125" style="6" customWidth="1"/>
    <col min="14102" max="14102" width="16.85546875" style="6" customWidth="1"/>
    <col min="14103" max="14103" width="12" style="6" customWidth="1"/>
    <col min="14104" max="14334" width="8.85546875" style="6"/>
    <col min="14335" max="14335" width="29" style="6" customWidth="1"/>
    <col min="14336" max="14340" width="10.42578125" style="6" customWidth="1"/>
    <col min="14341" max="14341" width="8.85546875" style="6"/>
    <col min="14342" max="14342" width="11.85546875" style="6" customWidth="1"/>
    <col min="14343" max="14343" width="8.85546875" style="6"/>
    <col min="14344" max="14345" width="15.85546875" style="6" customWidth="1"/>
    <col min="14346" max="14346" width="16" style="6" customWidth="1"/>
    <col min="14347" max="14347" width="13.140625" style="6" customWidth="1"/>
    <col min="14348" max="14348" width="8.85546875" style="6"/>
    <col min="14349" max="14349" width="17.42578125" style="6" customWidth="1"/>
    <col min="14350" max="14350" width="15.42578125" style="6" customWidth="1"/>
    <col min="14351" max="14351" width="10.85546875" style="6" customWidth="1"/>
    <col min="14352" max="14352" width="8.85546875" style="6"/>
    <col min="14353" max="14353" width="17.42578125" style="6" customWidth="1"/>
    <col min="14354" max="14354" width="16.85546875" style="6" customWidth="1"/>
    <col min="14355" max="14355" width="12" style="6" customWidth="1"/>
    <col min="14356" max="14356" width="8.85546875" style="6"/>
    <col min="14357" max="14357" width="17.42578125" style="6" customWidth="1"/>
    <col min="14358" max="14358" width="16.85546875" style="6" customWidth="1"/>
    <col min="14359" max="14359" width="12" style="6" customWidth="1"/>
    <col min="14360" max="14590" width="8.85546875" style="6"/>
    <col min="14591" max="14591" width="29" style="6" customWidth="1"/>
    <col min="14592" max="14596" width="10.42578125" style="6" customWidth="1"/>
    <col min="14597" max="14597" width="8.85546875" style="6"/>
    <col min="14598" max="14598" width="11.85546875" style="6" customWidth="1"/>
    <col min="14599" max="14599" width="8.85546875" style="6"/>
    <col min="14600" max="14601" width="15.85546875" style="6" customWidth="1"/>
    <col min="14602" max="14602" width="16" style="6" customWidth="1"/>
    <col min="14603" max="14603" width="13.140625" style="6" customWidth="1"/>
    <col min="14604" max="14604" width="8.85546875" style="6"/>
    <col min="14605" max="14605" width="17.42578125" style="6" customWidth="1"/>
    <col min="14606" max="14606" width="15.42578125" style="6" customWidth="1"/>
    <col min="14607" max="14607" width="10.85546875" style="6" customWidth="1"/>
    <col min="14608" max="14608" width="8.85546875" style="6"/>
    <col min="14609" max="14609" width="17.42578125" style="6" customWidth="1"/>
    <col min="14610" max="14610" width="16.85546875" style="6" customWidth="1"/>
    <col min="14611" max="14611" width="12" style="6" customWidth="1"/>
    <col min="14612" max="14612" width="8.85546875" style="6"/>
    <col min="14613" max="14613" width="17.42578125" style="6" customWidth="1"/>
    <col min="14614" max="14614" width="16.85546875" style="6" customWidth="1"/>
    <col min="14615" max="14615" width="12" style="6" customWidth="1"/>
    <col min="14616" max="14846" width="8.85546875" style="6"/>
    <col min="14847" max="14847" width="29" style="6" customWidth="1"/>
    <col min="14848" max="14852" width="10.42578125" style="6" customWidth="1"/>
    <col min="14853" max="14853" width="8.85546875" style="6"/>
    <col min="14854" max="14854" width="11.85546875" style="6" customWidth="1"/>
    <col min="14855" max="14855" width="8.85546875" style="6"/>
    <col min="14856" max="14857" width="15.85546875" style="6" customWidth="1"/>
    <col min="14858" max="14858" width="16" style="6" customWidth="1"/>
    <col min="14859" max="14859" width="13.140625" style="6" customWidth="1"/>
    <col min="14860" max="14860" width="8.85546875" style="6"/>
    <col min="14861" max="14861" width="17.42578125" style="6" customWidth="1"/>
    <col min="14862" max="14862" width="15.42578125" style="6" customWidth="1"/>
    <col min="14863" max="14863" width="10.85546875" style="6" customWidth="1"/>
    <col min="14864" max="14864" width="8.85546875" style="6"/>
    <col min="14865" max="14865" width="17.42578125" style="6" customWidth="1"/>
    <col min="14866" max="14866" width="16.85546875" style="6" customWidth="1"/>
    <col min="14867" max="14867" width="12" style="6" customWidth="1"/>
    <col min="14868" max="14868" width="8.85546875" style="6"/>
    <col min="14869" max="14869" width="17.42578125" style="6" customWidth="1"/>
    <col min="14870" max="14870" width="16.85546875" style="6" customWidth="1"/>
    <col min="14871" max="14871" width="12" style="6" customWidth="1"/>
    <col min="14872" max="15102" width="8.85546875" style="6"/>
    <col min="15103" max="15103" width="29" style="6" customWidth="1"/>
    <col min="15104" max="15108" width="10.42578125" style="6" customWidth="1"/>
    <col min="15109" max="15109" width="8.85546875" style="6"/>
    <col min="15110" max="15110" width="11.85546875" style="6" customWidth="1"/>
    <col min="15111" max="15111" width="8.85546875" style="6"/>
    <col min="15112" max="15113" width="15.85546875" style="6" customWidth="1"/>
    <col min="15114" max="15114" width="16" style="6" customWidth="1"/>
    <col min="15115" max="15115" width="13.140625" style="6" customWidth="1"/>
    <col min="15116" max="15116" width="8.85546875" style="6"/>
    <col min="15117" max="15117" width="17.42578125" style="6" customWidth="1"/>
    <col min="15118" max="15118" width="15.42578125" style="6" customWidth="1"/>
    <col min="15119" max="15119" width="10.85546875" style="6" customWidth="1"/>
    <col min="15120" max="15120" width="8.85546875" style="6"/>
    <col min="15121" max="15121" width="17.42578125" style="6" customWidth="1"/>
    <col min="15122" max="15122" width="16.85546875" style="6" customWidth="1"/>
    <col min="15123" max="15123" width="12" style="6" customWidth="1"/>
    <col min="15124" max="15124" width="8.85546875" style="6"/>
    <col min="15125" max="15125" width="17.42578125" style="6" customWidth="1"/>
    <col min="15126" max="15126" width="16.85546875" style="6" customWidth="1"/>
    <col min="15127" max="15127" width="12" style="6" customWidth="1"/>
    <col min="15128" max="15358" width="8.85546875" style="6"/>
    <col min="15359" max="15359" width="29" style="6" customWidth="1"/>
    <col min="15360" max="15364" width="10.42578125" style="6" customWidth="1"/>
    <col min="15365" max="15365" width="8.85546875" style="6"/>
    <col min="15366" max="15366" width="11.85546875" style="6" customWidth="1"/>
    <col min="15367" max="15367" width="8.85546875" style="6"/>
    <col min="15368" max="15369" width="15.85546875" style="6" customWidth="1"/>
    <col min="15370" max="15370" width="16" style="6" customWidth="1"/>
    <col min="15371" max="15371" width="13.140625" style="6" customWidth="1"/>
    <col min="15372" max="15372" width="8.85546875" style="6"/>
    <col min="15373" max="15373" width="17.42578125" style="6" customWidth="1"/>
    <col min="15374" max="15374" width="15.42578125" style="6" customWidth="1"/>
    <col min="15375" max="15375" width="10.85546875" style="6" customWidth="1"/>
    <col min="15376" max="15376" width="8.85546875" style="6"/>
    <col min="15377" max="15377" width="17.42578125" style="6" customWidth="1"/>
    <col min="15378" max="15378" width="16.85546875" style="6" customWidth="1"/>
    <col min="15379" max="15379" width="12" style="6" customWidth="1"/>
    <col min="15380" max="15380" width="8.85546875" style="6"/>
    <col min="15381" max="15381" width="17.42578125" style="6" customWidth="1"/>
    <col min="15382" max="15382" width="16.85546875" style="6" customWidth="1"/>
    <col min="15383" max="15383" width="12" style="6" customWidth="1"/>
    <col min="15384" max="15614" width="8.85546875" style="6"/>
    <col min="15615" max="15615" width="29" style="6" customWidth="1"/>
    <col min="15616" max="15620" width="10.42578125" style="6" customWidth="1"/>
    <col min="15621" max="15621" width="8.85546875" style="6"/>
    <col min="15622" max="15622" width="11.85546875" style="6" customWidth="1"/>
    <col min="15623" max="15623" width="8.85546875" style="6"/>
    <col min="15624" max="15625" width="15.85546875" style="6" customWidth="1"/>
    <col min="15626" max="15626" width="16" style="6" customWidth="1"/>
    <col min="15627" max="15627" width="13.140625" style="6" customWidth="1"/>
    <col min="15628" max="15628" width="8.85546875" style="6"/>
    <col min="15629" max="15629" width="17.42578125" style="6" customWidth="1"/>
    <col min="15630" max="15630" width="15.42578125" style="6" customWidth="1"/>
    <col min="15631" max="15631" width="10.85546875" style="6" customWidth="1"/>
    <col min="15632" max="15632" width="8.85546875" style="6"/>
    <col min="15633" max="15633" width="17.42578125" style="6" customWidth="1"/>
    <col min="15634" max="15634" width="16.85546875" style="6" customWidth="1"/>
    <col min="15635" max="15635" width="12" style="6" customWidth="1"/>
    <col min="15636" max="15636" width="8.85546875" style="6"/>
    <col min="15637" max="15637" width="17.42578125" style="6" customWidth="1"/>
    <col min="15638" max="15638" width="16.85546875" style="6" customWidth="1"/>
    <col min="15639" max="15639" width="12" style="6" customWidth="1"/>
    <col min="15640" max="15870" width="8.85546875" style="6"/>
    <col min="15871" max="15871" width="29" style="6" customWidth="1"/>
    <col min="15872" max="15876" width="10.42578125" style="6" customWidth="1"/>
    <col min="15877" max="15877" width="8.85546875" style="6"/>
    <col min="15878" max="15878" width="11.85546875" style="6" customWidth="1"/>
    <col min="15879" max="15879" width="8.85546875" style="6"/>
    <col min="15880" max="15881" width="15.85546875" style="6" customWidth="1"/>
    <col min="15882" max="15882" width="16" style="6" customWidth="1"/>
    <col min="15883" max="15883" width="13.140625" style="6" customWidth="1"/>
    <col min="15884" max="15884" width="8.85546875" style="6"/>
    <col min="15885" max="15885" width="17.42578125" style="6" customWidth="1"/>
    <col min="15886" max="15886" width="15.42578125" style="6" customWidth="1"/>
    <col min="15887" max="15887" width="10.85546875" style="6" customWidth="1"/>
    <col min="15888" max="15888" width="8.85546875" style="6"/>
    <col min="15889" max="15889" width="17.42578125" style="6" customWidth="1"/>
    <col min="15890" max="15890" width="16.85546875" style="6" customWidth="1"/>
    <col min="15891" max="15891" width="12" style="6" customWidth="1"/>
    <col min="15892" max="15892" width="8.85546875" style="6"/>
    <col min="15893" max="15893" width="17.42578125" style="6" customWidth="1"/>
    <col min="15894" max="15894" width="16.85546875" style="6" customWidth="1"/>
    <col min="15895" max="15895" width="12" style="6" customWidth="1"/>
    <col min="15896" max="16126" width="8.85546875" style="6"/>
    <col min="16127" max="16127" width="29" style="6" customWidth="1"/>
    <col min="16128" max="16132" width="10.42578125" style="6" customWidth="1"/>
    <col min="16133" max="16133" width="8.85546875" style="6"/>
    <col min="16134" max="16134" width="11.85546875" style="6" customWidth="1"/>
    <col min="16135" max="16135" width="8.85546875" style="6"/>
    <col min="16136" max="16137" width="15.85546875" style="6" customWidth="1"/>
    <col min="16138" max="16138" width="16" style="6" customWidth="1"/>
    <col min="16139" max="16139" width="13.140625" style="6" customWidth="1"/>
    <col min="16140" max="16140" width="8.85546875" style="6"/>
    <col min="16141" max="16141" width="17.42578125" style="6" customWidth="1"/>
    <col min="16142" max="16142" width="15.42578125" style="6" customWidth="1"/>
    <col min="16143" max="16143" width="10.85546875" style="6" customWidth="1"/>
    <col min="16144" max="16144" width="8.85546875" style="6"/>
    <col min="16145" max="16145" width="17.42578125" style="6" customWidth="1"/>
    <col min="16146" max="16146" width="16.85546875" style="6" customWidth="1"/>
    <col min="16147" max="16147" width="12" style="6" customWidth="1"/>
    <col min="16148" max="16148" width="8.85546875" style="6"/>
    <col min="16149" max="16149" width="17.42578125" style="6" customWidth="1"/>
    <col min="16150" max="16150" width="16.85546875" style="6" customWidth="1"/>
    <col min="16151" max="16151" width="12" style="6" customWidth="1"/>
    <col min="16152" max="16384" width="8.85546875" style="6"/>
  </cols>
  <sheetData>
    <row r="1" spans="1:35" x14ac:dyDescent="0.2">
      <c r="A1" s="23" t="s">
        <v>177</v>
      </c>
      <c r="B1" s="57"/>
      <c r="C1" s="57"/>
      <c r="D1" s="57"/>
      <c r="E1" s="57"/>
      <c r="F1" s="57"/>
      <c r="G1" s="57"/>
      <c r="H1" s="9"/>
      <c r="I1" s="10"/>
      <c r="J1" s="10"/>
      <c r="K1" s="10"/>
      <c r="L1" s="10"/>
      <c r="M1" s="10"/>
      <c r="N1" s="10"/>
      <c r="O1" s="10"/>
      <c r="P1" s="10"/>
      <c r="Q1" s="10"/>
      <c r="R1" s="11"/>
      <c r="S1" s="11"/>
      <c r="T1" s="11"/>
      <c r="U1" s="11"/>
      <c r="V1" s="11"/>
      <c r="W1" s="11"/>
      <c r="X1" s="11"/>
      <c r="Y1" s="11"/>
      <c r="Z1" s="11"/>
      <c r="AA1" s="11"/>
      <c r="AB1" s="11"/>
      <c r="AC1" s="11"/>
      <c r="AD1" s="11"/>
      <c r="AE1" s="11"/>
      <c r="AF1" s="11"/>
      <c r="AG1" s="11"/>
      <c r="AH1" s="11"/>
      <c r="AI1" s="11"/>
    </row>
    <row r="2" spans="1:35" x14ac:dyDescent="0.2">
      <c r="A2" s="58"/>
      <c r="B2" s="59"/>
      <c r="C2" s="59"/>
      <c r="D2" s="59"/>
      <c r="E2" s="59"/>
      <c r="F2" s="59"/>
      <c r="G2" s="59"/>
      <c r="H2" s="9"/>
      <c r="I2" s="10"/>
      <c r="J2" s="10"/>
      <c r="K2" s="10"/>
      <c r="L2" s="10"/>
      <c r="M2" s="10"/>
      <c r="N2" s="10"/>
      <c r="O2" s="10"/>
      <c r="P2" s="10"/>
      <c r="Q2" s="10"/>
      <c r="R2" s="11"/>
      <c r="S2" s="11"/>
      <c r="T2" s="11"/>
      <c r="U2" s="11"/>
      <c r="V2" s="11"/>
      <c r="W2" s="11"/>
      <c r="X2" s="11"/>
      <c r="Y2" s="11"/>
      <c r="Z2" s="11"/>
      <c r="AA2" s="11"/>
      <c r="AB2" s="11"/>
      <c r="AC2" s="11"/>
      <c r="AD2" s="11"/>
      <c r="AE2" s="11"/>
      <c r="AF2" s="11"/>
      <c r="AG2" s="11"/>
      <c r="AH2" s="11"/>
      <c r="AI2" s="11"/>
    </row>
    <row r="3" spans="1:35" x14ac:dyDescent="0.2">
      <c r="B3" s="286" t="s">
        <v>60</v>
      </c>
      <c r="C3" s="286"/>
      <c r="D3" s="286"/>
      <c r="E3" s="60"/>
      <c r="F3" s="60"/>
      <c r="G3" s="60"/>
      <c r="H3" s="11"/>
      <c r="I3" s="10"/>
      <c r="J3" s="10"/>
      <c r="K3" s="10"/>
      <c r="L3" s="10"/>
      <c r="M3" s="10"/>
      <c r="N3" s="10"/>
      <c r="O3" s="10"/>
      <c r="P3" s="10"/>
      <c r="Q3" s="10"/>
      <c r="R3" s="11"/>
      <c r="S3" s="11"/>
      <c r="T3" s="11"/>
      <c r="U3" s="11"/>
      <c r="V3" s="11"/>
      <c r="W3" s="11"/>
      <c r="X3" s="11"/>
      <c r="Y3" s="11"/>
      <c r="Z3" s="11"/>
      <c r="AA3" s="11"/>
      <c r="AB3" s="11"/>
      <c r="AC3" s="11"/>
      <c r="AD3" s="11"/>
      <c r="AE3" s="11"/>
      <c r="AF3" s="11"/>
      <c r="AG3" s="11"/>
      <c r="AH3" s="11"/>
      <c r="AI3" s="11"/>
    </row>
    <row r="4" spans="1:35" x14ac:dyDescent="0.2">
      <c r="A4" s="61"/>
      <c r="B4" s="62">
        <v>1950</v>
      </c>
      <c r="C4" s="62">
        <v>2010</v>
      </c>
      <c r="D4" s="62">
        <v>2050</v>
      </c>
      <c r="E4" s="60"/>
      <c r="F4" s="127"/>
      <c r="G4" s="127"/>
      <c r="H4" s="11"/>
      <c r="I4" s="10"/>
      <c r="J4" s="10"/>
      <c r="K4" s="10"/>
      <c r="L4" s="10"/>
      <c r="M4" s="10"/>
      <c r="N4" s="10"/>
      <c r="O4" s="10"/>
      <c r="P4" s="10"/>
      <c r="Q4" s="10"/>
      <c r="R4" s="11"/>
      <c r="S4" s="11"/>
      <c r="T4" s="11"/>
      <c r="U4" s="10"/>
      <c r="V4" s="11"/>
      <c r="W4" s="11"/>
      <c r="X4" s="11"/>
      <c r="Y4" s="11"/>
      <c r="Z4" s="11"/>
      <c r="AA4" s="11"/>
      <c r="AB4" s="11"/>
      <c r="AC4" s="11"/>
      <c r="AD4" s="11"/>
      <c r="AE4" s="11"/>
      <c r="AF4" s="11"/>
      <c r="AG4" s="11"/>
      <c r="AH4" s="11"/>
      <c r="AI4" s="11"/>
    </row>
    <row r="5" spans="1:35" x14ac:dyDescent="0.2">
      <c r="B5" s="286" t="s">
        <v>35</v>
      </c>
      <c r="C5" s="286"/>
      <c r="D5" s="286"/>
      <c r="E5" s="60"/>
      <c r="F5" s="60"/>
      <c r="G5" s="60"/>
      <c r="H5" s="11"/>
      <c r="I5" s="10"/>
      <c r="J5" s="10"/>
      <c r="K5" s="10"/>
      <c r="L5" s="10"/>
      <c r="M5" s="10"/>
      <c r="N5" s="10"/>
      <c r="O5" s="10"/>
      <c r="P5" s="10"/>
      <c r="Q5" s="10"/>
      <c r="R5" s="10"/>
      <c r="S5" s="10"/>
      <c r="T5" s="11"/>
      <c r="U5" s="10"/>
      <c r="V5" s="10"/>
      <c r="W5" s="10"/>
      <c r="X5" s="11"/>
      <c r="Y5" s="11"/>
      <c r="Z5" s="11"/>
      <c r="AA5" s="11"/>
      <c r="AB5" s="11"/>
      <c r="AC5" s="11"/>
      <c r="AD5" s="11"/>
      <c r="AE5" s="11"/>
      <c r="AF5" s="11"/>
      <c r="AG5" s="11"/>
      <c r="AH5" s="11"/>
      <c r="AI5" s="11"/>
    </row>
    <row r="6" spans="1:35" x14ac:dyDescent="0.2">
      <c r="B6" s="63"/>
      <c r="C6" s="63"/>
      <c r="D6" s="63"/>
      <c r="E6" s="60"/>
      <c r="F6" s="60"/>
      <c r="G6" s="60"/>
      <c r="H6" s="11"/>
      <c r="I6" s="10"/>
      <c r="J6" s="10"/>
      <c r="K6" s="10"/>
      <c r="L6" s="10"/>
      <c r="M6" s="10"/>
      <c r="N6" s="10"/>
      <c r="O6" s="10"/>
      <c r="P6" s="10"/>
      <c r="Q6" s="10"/>
      <c r="R6" s="11"/>
      <c r="S6" s="11"/>
      <c r="T6" s="11"/>
      <c r="U6" s="10"/>
      <c r="V6" s="11"/>
      <c r="W6" s="11"/>
      <c r="X6" s="11"/>
      <c r="Y6" s="11"/>
      <c r="Z6" s="11"/>
      <c r="AA6" s="11"/>
      <c r="AB6" s="11"/>
      <c r="AC6" s="11"/>
      <c r="AD6" s="11"/>
      <c r="AE6" s="11"/>
      <c r="AF6" s="11"/>
      <c r="AG6" s="11"/>
      <c r="AH6" s="11"/>
      <c r="AI6" s="11"/>
    </row>
    <row r="7" spans="1:35" x14ac:dyDescent="0.2">
      <c r="A7" s="60" t="s">
        <v>36</v>
      </c>
      <c r="B7" s="64">
        <v>0.3618985812962226</v>
      </c>
      <c r="C7" s="64">
        <v>9.3277218013658139E-2</v>
      </c>
      <c r="D7" s="29">
        <v>3.8426234043752214E-2</v>
      </c>
      <c r="E7" s="60"/>
      <c r="F7" s="60"/>
      <c r="G7" s="153"/>
      <c r="H7" s="11"/>
      <c r="I7" s="10"/>
      <c r="J7" s="10"/>
      <c r="K7" s="10"/>
      <c r="L7" s="10"/>
      <c r="M7" s="10"/>
      <c r="N7" s="10"/>
      <c r="O7" s="10"/>
      <c r="P7" s="10"/>
      <c r="Q7" s="10"/>
      <c r="R7" s="11"/>
      <c r="S7" s="11"/>
      <c r="T7" s="11"/>
      <c r="U7" s="10"/>
      <c r="V7" s="11"/>
      <c r="W7" s="11"/>
      <c r="X7" s="11"/>
      <c r="Y7" s="11"/>
      <c r="Z7" s="11"/>
      <c r="AA7" s="11"/>
      <c r="AB7" s="11"/>
      <c r="AC7" s="11"/>
      <c r="AD7" s="11"/>
      <c r="AE7" s="11"/>
      <c r="AF7" s="11"/>
      <c r="AG7" s="11"/>
      <c r="AH7" s="11"/>
      <c r="AI7" s="11"/>
    </row>
    <row r="8" spans="1:35" x14ac:dyDescent="0.2">
      <c r="A8" s="65" t="s">
        <v>122</v>
      </c>
      <c r="B8" s="66">
        <v>0.73777020191777221</v>
      </c>
      <c r="C8" s="64">
        <v>0.85771827897345398</v>
      </c>
      <c r="D8" s="29">
        <v>0.60856393472332948</v>
      </c>
      <c r="E8" s="60"/>
      <c r="F8" s="29"/>
      <c r="G8" s="29"/>
      <c r="H8" s="14"/>
      <c r="I8" s="15"/>
      <c r="J8" s="8"/>
      <c r="K8" s="12"/>
      <c r="L8" s="10"/>
      <c r="M8" s="15"/>
      <c r="N8" s="8"/>
      <c r="O8" s="12"/>
      <c r="P8" s="10"/>
      <c r="Q8" s="15"/>
      <c r="R8" s="8"/>
      <c r="S8" s="13"/>
      <c r="T8" s="11"/>
      <c r="U8" s="15"/>
      <c r="V8" s="8"/>
      <c r="W8" s="13"/>
      <c r="X8" s="11"/>
      <c r="Y8" s="11"/>
      <c r="Z8" s="11"/>
      <c r="AA8" s="11"/>
      <c r="AB8" s="11"/>
      <c r="AC8" s="11"/>
      <c r="AD8" s="11"/>
      <c r="AE8" s="11"/>
      <c r="AF8" s="11"/>
      <c r="AG8" s="11"/>
      <c r="AH8" s="11"/>
      <c r="AI8" s="11"/>
    </row>
    <row r="9" spans="1:35" x14ac:dyDescent="0.2">
      <c r="A9" s="65" t="s">
        <v>120</v>
      </c>
      <c r="B9" s="66">
        <v>0.22511084272358631</v>
      </c>
      <c r="C9" s="64">
        <v>8.1611581718470355E-2</v>
      </c>
      <c r="D9" s="29">
        <v>6.2438057497954273E-2</v>
      </c>
      <c r="E9" s="60"/>
      <c r="F9" s="29"/>
      <c r="G9" s="29"/>
      <c r="H9" s="14"/>
      <c r="I9" s="15"/>
      <c r="J9" s="8"/>
      <c r="K9" s="12"/>
      <c r="L9" s="10"/>
      <c r="M9" s="15"/>
      <c r="N9" s="8"/>
      <c r="O9" s="12"/>
      <c r="P9" s="10"/>
      <c r="Q9" s="15"/>
      <c r="R9" s="8"/>
      <c r="S9" s="13"/>
      <c r="T9" s="11"/>
      <c r="U9" s="15"/>
      <c r="V9" s="8"/>
      <c r="W9" s="13"/>
      <c r="X9" s="11"/>
      <c r="Y9" s="11"/>
      <c r="Z9" s="11"/>
      <c r="AA9" s="11"/>
      <c r="AB9" s="11"/>
      <c r="AC9" s="11"/>
      <c r="AD9" s="11"/>
      <c r="AE9" s="11"/>
      <c r="AF9" s="11"/>
      <c r="AG9" s="11"/>
      <c r="AH9" s="11"/>
      <c r="AI9" s="11"/>
    </row>
    <row r="10" spans="1:35" x14ac:dyDescent="0.2">
      <c r="A10" s="65" t="s">
        <v>8</v>
      </c>
      <c r="B10" s="66">
        <v>0.13119103675268448</v>
      </c>
      <c r="C10" s="64">
        <v>0.10179204578569696</v>
      </c>
      <c r="D10" s="29">
        <v>8.9049117467556546E-2</v>
      </c>
      <c r="E10" s="60"/>
      <c r="F10" s="29"/>
      <c r="G10" s="29"/>
      <c r="H10" s="14"/>
      <c r="I10" s="15"/>
      <c r="J10" s="8"/>
      <c r="K10" s="12"/>
      <c r="L10" s="10"/>
      <c r="M10" s="15"/>
      <c r="N10" s="8"/>
      <c r="O10" s="12"/>
      <c r="P10" s="10"/>
      <c r="Q10" s="15"/>
      <c r="R10" s="8"/>
      <c r="S10" s="13"/>
      <c r="T10" s="11"/>
      <c r="U10" s="15"/>
      <c r="V10" s="8"/>
      <c r="W10" s="13"/>
      <c r="X10" s="11"/>
      <c r="Y10" s="11"/>
      <c r="Z10" s="11"/>
      <c r="AA10" s="11"/>
      <c r="AB10" s="11"/>
      <c r="AC10" s="11"/>
      <c r="AD10" s="11"/>
      <c r="AE10" s="11"/>
      <c r="AF10" s="11"/>
      <c r="AG10" s="11"/>
      <c r="AH10" s="11"/>
      <c r="AI10" s="11"/>
    </row>
    <row r="11" spans="1:35" x14ac:dyDescent="0.2">
      <c r="A11" s="65" t="s">
        <v>17</v>
      </c>
      <c r="B11" s="66">
        <v>1.4183591759481691</v>
      </c>
      <c r="C11" s="64">
        <v>0.38040258764303647</v>
      </c>
      <c r="D11" s="29">
        <v>0.29650673137876432</v>
      </c>
      <c r="E11" s="60"/>
      <c r="F11" s="29"/>
      <c r="G11" s="29"/>
      <c r="H11" s="14"/>
      <c r="I11" s="15"/>
      <c r="J11" s="8"/>
      <c r="K11" s="12"/>
      <c r="L11" s="10"/>
      <c r="M11" s="15"/>
      <c r="N11" s="8"/>
      <c r="O11" s="12"/>
      <c r="P11" s="10"/>
      <c r="Q11" s="15"/>
      <c r="R11" s="8"/>
      <c r="S11" s="13"/>
      <c r="T11" s="11"/>
      <c r="U11" s="15"/>
      <c r="V11" s="8"/>
      <c r="W11" s="13"/>
      <c r="X11" s="11"/>
      <c r="Y11" s="11"/>
      <c r="Z11" s="11"/>
      <c r="AA11" s="11"/>
      <c r="AB11" s="11"/>
      <c r="AC11" s="11"/>
      <c r="AD11" s="11"/>
      <c r="AE11" s="11"/>
      <c r="AF11" s="11"/>
      <c r="AG11" s="11"/>
      <c r="AH11" s="11"/>
      <c r="AI11" s="11"/>
    </row>
    <row r="12" spans="1:35" x14ac:dyDescent="0.2">
      <c r="A12" s="65" t="s">
        <v>7</v>
      </c>
      <c r="B12" s="66">
        <v>0.16385483486567362</v>
      </c>
      <c r="C12" s="64">
        <v>6.6134105162107909E-2</v>
      </c>
      <c r="D12" s="29">
        <v>6.8468464304699619E-2</v>
      </c>
      <c r="E12" s="60"/>
      <c r="F12" s="29"/>
      <c r="G12" s="29"/>
      <c r="H12" s="14"/>
      <c r="I12" s="15"/>
      <c r="J12" s="8"/>
      <c r="K12" s="12"/>
      <c r="L12" s="10"/>
      <c r="M12" s="15"/>
      <c r="N12" s="8"/>
      <c r="O12" s="12"/>
      <c r="P12" s="10"/>
      <c r="Q12" s="15"/>
      <c r="R12" s="8"/>
      <c r="S12" s="13"/>
      <c r="T12" s="11"/>
      <c r="U12" s="15"/>
      <c r="V12" s="8"/>
      <c r="W12" s="13"/>
      <c r="X12" s="11"/>
      <c r="Y12" s="11"/>
      <c r="Z12" s="11"/>
      <c r="AA12" s="11"/>
      <c r="AB12" s="11"/>
      <c r="AC12" s="11"/>
      <c r="AD12" s="11"/>
      <c r="AE12" s="11"/>
      <c r="AF12" s="11"/>
      <c r="AG12" s="11"/>
      <c r="AH12" s="11"/>
      <c r="AI12" s="11"/>
    </row>
    <row r="13" spans="1:35" x14ac:dyDescent="0.2">
      <c r="A13" s="65" t="s">
        <v>37</v>
      </c>
      <c r="B13" s="66">
        <v>4.678397899875391E-2</v>
      </c>
      <c r="C13" s="64">
        <v>2.799935936495573E-2</v>
      </c>
      <c r="D13" s="29">
        <v>1.2435805037898807E-2</v>
      </c>
      <c r="E13" s="60"/>
      <c r="F13" s="29"/>
      <c r="G13" s="29"/>
      <c r="H13" s="14"/>
      <c r="I13" s="15"/>
      <c r="J13" s="8"/>
      <c r="K13" s="12"/>
      <c r="L13" s="10"/>
      <c r="M13" s="15"/>
      <c r="N13" s="8"/>
      <c r="O13" s="12"/>
      <c r="P13" s="10"/>
      <c r="Q13" s="15"/>
      <c r="R13" s="8"/>
      <c r="S13" s="13"/>
      <c r="T13" s="11"/>
      <c r="U13" s="15"/>
      <c r="V13" s="8"/>
      <c r="W13" s="13"/>
      <c r="X13" s="11"/>
      <c r="Y13" s="11"/>
      <c r="Z13" s="11"/>
      <c r="AA13" s="11"/>
      <c r="AB13" s="11"/>
      <c r="AC13" s="11"/>
      <c r="AD13" s="11"/>
      <c r="AE13" s="11"/>
      <c r="AF13" s="11"/>
      <c r="AG13" s="11"/>
      <c r="AH13" s="11"/>
      <c r="AI13" s="11"/>
    </row>
    <row r="14" spans="1:35" x14ac:dyDescent="0.2">
      <c r="A14" s="65" t="s">
        <v>14</v>
      </c>
      <c r="B14" s="66">
        <v>7.8180822540239905E-2</v>
      </c>
      <c r="C14" s="64">
        <v>3.4146489450577681E-2</v>
      </c>
      <c r="D14" s="29">
        <v>2.2437935293919617E-2</v>
      </c>
      <c r="E14" s="60"/>
      <c r="F14" s="29"/>
      <c r="G14" s="29"/>
      <c r="H14" s="14"/>
      <c r="I14" s="15"/>
      <c r="J14" s="8"/>
      <c r="K14" s="12"/>
      <c r="L14" s="10"/>
      <c r="M14" s="15"/>
      <c r="N14" s="8"/>
      <c r="O14" s="12"/>
      <c r="P14" s="10"/>
      <c r="Q14" s="15"/>
      <c r="R14" s="8"/>
      <c r="S14" s="13"/>
      <c r="T14" s="11"/>
      <c r="U14" s="15"/>
      <c r="V14" s="8"/>
      <c r="W14" s="13"/>
      <c r="X14" s="11"/>
      <c r="Y14" s="11"/>
      <c r="Z14" s="11"/>
      <c r="AA14" s="11"/>
      <c r="AB14" s="11"/>
      <c r="AC14" s="11"/>
      <c r="AD14" s="11"/>
      <c r="AE14" s="11"/>
      <c r="AF14" s="11"/>
      <c r="AG14" s="11"/>
      <c r="AH14" s="11"/>
      <c r="AI14" s="11"/>
    </row>
    <row r="15" spans="1:35" x14ac:dyDescent="0.2">
      <c r="A15" s="65" t="s">
        <v>38</v>
      </c>
      <c r="B15" s="66">
        <v>0.26055306361416947</v>
      </c>
      <c r="C15" s="64">
        <v>8.1278327989783572E-2</v>
      </c>
      <c r="D15" s="29">
        <v>4.6436567208383454E-2</v>
      </c>
      <c r="E15" s="60"/>
      <c r="F15" s="29"/>
      <c r="G15" s="29"/>
      <c r="H15" s="14"/>
      <c r="I15" s="15"/>
      <c r="J15" s="8"/>
      <c r="K15" s="12"/>
      <c r="L15" s="10"/>
      <c r="M15" s="15"/>
      <c r="N15" s="8"/>
      <c r="O15" s="12"/>
      <c r="P15" s="10"/>
      <c r="Q15" s="15"/>
      <c r="R15" s="8"/>
      <c r="S15" s="13"/>
      <c r="T15" s="11"/>
      <c r="U15" s="15"/>
      <c r="V15" s="8"/>
      <c r="W15" s="13"/>
      <c r="X15" s="11"/>
      <c r="Y15" s="11"/>
      <c r="Z15" s="11"/>
      <c r="AA15" s="11"/>
      <c r="AB15" s="11"/>
      <c r="AC15" s="11"/>
      <c r="AD15" s="11"/>
      <c r="AE15" s="11"/>
      <c r="AF15" s="11"/>
      <c r="AG15" s="11"/>
      <c r="AH15" s="11"/>
      <c r="AI15" s="11"/>
    </row>
    <row r="16" spans="1:35" x14ac:dyDescent="0.2">
      <c r="A16" s="65" t="s">
        <v>39</v>
      </c>
      <c r="B16" s="66">
        <v>0.20780005178744498</v>
      </c>
      <c r="C16" s="64">
        <v>0.15559006741907103</v>
      </c>
      <c r="D16" s="29">
        <v>0.13485379232204009</v>
      </c>
      <c r="F16" s="203"/>
      <c r="G16" s="29"/>
      <c r="H16" s="14"/>
      <c r="I16" s="15"/>
      <c r="J16" s="8"/>
      <c r="K16" s="12"/>
      <c r="L16" s="10"/>
      <c r="M16" s="15"/>
      <c r="N16" s="8"/>
      <c r="O16" s="12"/>
      <c r="P16" s="10"/>
      <c r="Q16" s="15"/>
      <c r="R16" s="8"/>
      <c r="S16" s="13"/>
      <c r="T16" s="11"/>
      <c r="U16" s="15"/>
      <c r="V16" s="8"/>
      <c r="W16" s="13"/>
      <c r="X16" s="11"/>
      <c r="Y16" s="11"/>
      <c r="Z16" s="11"/>
      <c r="AA16" s="11"/>
      <c r="AB16" s="11"/>
      <c r="AC16" s="11"/>
      <c r="AD16" s="11"/>
      <c r="AE16" s="11"/>
      <c r="AF16" s="11"/>
      <c r="AG16" s="11"/>
      <c r="AH16" s="11"/>
      <c r="AI16" s="11"/>
    </row>
    <row r="17" spans="1:35" x14ac:dyDescent="0.2">
      <c r="A17" s="65" t="s">
        <v>13</v>
      </c>
      <c r="B17" s="66">
        <v>0.21901170374381085</v>
      </c>
      <c r="C17" s="64">
        <v>8.0637632455201544E-2</v>
      </c>
      <c r="D17" s="29">
        <v>5.836262094257659E-2</v>
      </c>
      <c r="E17" s="60"/>
      <c r="F17" s="29"/>
      <c r="G17" s="29"/>
      <c r="H17" s="14"/>
      <c r="I17" s="15"/>
      <c r="J17" s="8"/>
      <c r="K17" s="12"/>
      <c r="L17" s="10"/>
      <c r="M17" s="15"/>
      <c r="N17" s="8"/>
      <c r="O17" s="12"/>
      <c r="P17" s="10"/>
      <c r="Q17" s="15"/>
      <c r="R17" s="8"/>
      <c r="S17" s="13"/>
      <c r="T17" s="11"/>
      <c r="U17" s="15"/>
      <c r="V17" s="8"/>
      <c r="W17" s="13"/>
      <c r="X17" s="11"/>
      <c r="Y17" s="11"/>
      <c r="Z17" s="11"/>
      <c r="AA17" s="11"/>
      <c r="AB17" s="11"/>
      <c r="AC17" s="11"/>
      <c r="AD17" s="11"/>
      <c r="AE17" s="11"/>
      <c r="AF17" s="11"/>
      <c r="AG17" s="11"/>
      <c r="AH17" s="11"/>
      <c r="AI17" s="11"/>
    </row>
    <row r="18" spans="1:35" x14ac:dyDescent="0.2">
      <c r="A18" s="65" t="s">
        <v>118</v>
      </c>
      <c r="B18" s="66">
        <v>0.10432671901180203</v>
      </c>
      <c r="C18" s="64">
        <v>6.222096009905527E-2</v>
      </c>
      <c r="D18" s="29">
        <v>5.0859486473963017E-2</v>
      </c>
      <c r="E18" s="60"/>
      <c r="F18" s="29"/>
      <c r="G18" s="29"/>
      <c r="H18" s="14"/>
      <c r="I18" s="15"/>
      <c r="J18" s="8"/>
      <c r="K18" s="12"/>
      <c r="L18" s="10"/>
      <c r="M18" s="15"/>
      <c r="N18" s="8"/>
      <c r="O18" s="12"/>
      <c r="P18" s="10"/>
      <c r="Q18" s="15"/>
      <c r="R18" s="8"/>
      <c r="S18" s="13"/>
      <c r="T18" s="11"/>
      <c r="U18" s="15"/>
      <c r="V18" s="8"/>
      <c r="W18" s="13"/>
      <c r="X18" s="11"/>
      <c r="Y18" s="11"/>
      <c r="Z18" s="11"/>
      <c r="AA18" s="11"/>
      <c r="AB18" s="11"/>
      <c r="AC18" s="11"/>
      <c r="AD18" s="11"/>
      <c r="AE18" s="11"/>
      <c r="AF18" s="11"/>
      <c r="AG18" s="11"/>
      <c r="AH18" s="11"/>
      <c r="AI18" s="11"/>
    </row>
    <row r="19" spans="1:35" x14ac:dyDescent="0.2">
      <c r="A19" s="65" t="s">
        <v>21</v>
      </c>
      <c r="B19" s="66">
        <v>0.2087948673026187</v>
      </c>
      <c r="C19" s="64">
        <v>0.12751841433224245</v>
      </c>
      <c r="D19" s="29">
        <v>0.11052955020355165</v>
      </c>
      <c r="E19" s="60"/>
      <c r="F19" s="29"/>
      <c r="G19" s="29"/>
      <c r="H19" s="14"/>
      <c r="I19" s="15"/>
      <c r="J19" s="8"/>
      <c r="K19" s="12"/>
      <c r="L19" s="10"/>
      <c r="M19" s="15"/>
      <c r="N19" s="8"/>
      <c r="O19" s="12"/>
      <c r="P19" s="10"/>
      <c r="Q19" s="15"/>
      <c r="R19" s="8"/>
      <c r="S19" s="13"/>
      <c r="T19" s="11"/>
      <c r="U19" s="15"/>
      <c r="V19" s="8"/>
      <c r="W19" s="13"/>
      <c r="X19" s="11"/>
      <c r="Y19" s="11"/>
      <c r="Z19" s="11"/>
      <c r="AA19" s="11"/>
      <c r="AB19" s="11"/>
      <c r="AC19" s="11"/>
      <c r="AD19" s="11"/>
      <c r="AE19" s="11"/>
      <c r="AF19" s="11"/>
      <c r="AG19" s="11"/>
      <c r="AH19" s="11"/>
      <c r="AI19" s="11"/>
    </row>
    <row r="20" spans="1:35" x14ac:dyDescent="0.2">
      <c r="A20" s="65" t="s">
        <v>130</v>
      </c>
      <c r="B20" s="66">
        <v>0.42862951232129359</v>
      </c>
      <c r="C20" s="64">
        <v>0.10492052641119293</v>
      </c>
      <c r="D20" s="29">
        <v>3.9864572740494791E-2</v>
      </c>
      <c r="E20" s="60"/>
      <c r="F20" s="29"/>
      <c r="G20" s="29"/>
      <c r="H20" s="14"/>
      <c r="I20" s="15"/>
      <c r="J20" s="8"/>
      <c r="K20" s="12"/>
      <c r="L20" s="10"/>
      <c r="M20" s="15"/>
      <c r="N20" s="8"/>
      <c r="O20" s="12"/>
      <c r="P20" s="10"/>
      <c r="Q20" s="15"/>
      <c r="R20" s="8"/>
      <c r="S20" s="13"/>
      <c r="T20" s="11"/>
      <c r="U20" s="15"/>
      <c r="V20" s="8"/>
      <c r="W20" s="13"/>
      <c r="X20" s="11"/>
      <c r="Y20" s="11"/>
      <c r="Z20" s="11"/>
      <c r="AA20" s="11"/>
      <c r="AB20" s="11"/>
      <c r="AC20" s="11"/>
      <c r="AD20" s="11"/>
      <c r="AE20" s="11"/>
      <c r="AF20" s="11"/>
      <c r="AG20" s="11"/>
      <c r="AH20" s="11"/>
      <c r="AI20" s="11"/>
    </row>
    <row r="21" spans="1:35" x14ac:dyDescent="0.2">
      <c r="A21" s="65" t="s">
        <v>6</v>
      </c>
      <c r="B21" s="66">
        <v>6.0160471959138317E-2</v>
      </c>
      <c r="C21" s="64">
        <v>1.4983887579115875E-2</v>
      </c>
      <c r="D21" s="29">
        <v>1.7466818135425086E-2</v>
      </c>
      <c r="E21" s="60"/>
      <c r="F21" s="29"/>
      <c r="G21" s="29"/>
      <c r="H21" s="14"/>
      <c r="I21" s="15"/>
      <c r="J21" s="8"/>
      <c r="K21" s="12"/>
      <c r="L21" s="10"/>
      <c r="M21" s="15"/>
      <c r="N21" s="8"/>
      <c r="O21" s="12"/>
      <c r="P21" s="10"/>
      <c r="Q21" s="15"/>
      <c r="R21" s="8"/>
      <c r="S21" s="13"/>
      <c r="T21" s="11"/>
      <c r="U21" s="15"/>
      <c r="V21" s="8"/>
      <c r="W21" s="13"/>
      <c r="X21" s="11"/>
      <c r="Y21" s="11"/>
      <c r="Z21" s="11"/>
      <c r="AA21" s="11"/>
      <c r="AB21" s="11"/>
      <c r="AC21" s="11"/>
      <c r="AD21" s="11"/>
      <c r="AE21" s="11"/>
      <c r="AF21" s="11"/>
      <c r="AG21" s="11"/>
      <c r="AH21" s="11"/>
      <c r="AI21" s="11"/>
    </row>
    <row r="22" spans="1:35" x14ac:dyDescent="0.2">
      <c r="A22" s="65" t="s">
        <v>23</v>
      </c>
      <c r="B22" s="66">
        <v>8.6253457503396122E-2</v>
      </c>
      <c r="C22" s="64">
        <v>2.4611794711435861E-2</v>
      </c>
      <c r="D22" s="29">
        <v>1.6085697971206878E-2</v>
      </c>
      <c r="E22" s="60"/>
      <c r="F22" s="29"/>
      <c r="G22" s="29"/>
      <c r="H22" s="14"/>
      <c r="I22" s="15"/>
      <c r="J22" s="8"/>
      <c r="K22" s="12"/>
      <c r="L22" s="10"/>
      <c r="M22" s="15"/>
      <c r="N22" s="8"/>
      <c r="O22" s="12"/>
      <c r="P22" s="10"/>
      <c r="Q22" s="15"/>
      <c r="R22" s="8"/>
      <c r="S22" s="13"/>
      <c r="T22" s="11"/>
      <c r="U22" s="15"/>
      <c r="V22" s="8"/>
      <c r="W22" s="13"/>
      <c r="X22" s="11"/>
      <c r="Y22" s="11"/>
      <c r="Z22" s="11"/>
      <c r="AA22" s="11"/>
      <c r="AB22" s="11"/>
      <c r="AC22" s="11"/>
      <c r="AD22" s="11"/>
      <c r="AE22" s="11"/>
      <c r="AF22" s="11"/>
      <c r="AG22" s="11"/>
      <c r="AH22" s="11"/>
      <c r="AI22" s="11"/>
    </row>
    <row r="23" spans="1:35" x14ac:dyDescent="0.2">
      <c r="A23" s="65" t="s">
        <v>9</v>
      </c>
      <c r="B23" s="66">
        <v>0.19338028023558126</v>
      </c>
      <c r="C23" s="64">
        <v>8.8509348545362215E-2</v>
      </c>
      <c r="D23" s="29">
        <v>6.9751685735798333E-2</v>
      </c>
      <c r="E23" s="60"/>
      <c r="F23" s="60"/>
      <c r="G23" s="29"/>
      <c r="H23" s="14"/>
      <c r="I23" s="15"/>
      <c r="J23" s="8"/>
      <c r="K23" s="12"/>
      <c r="L23" s="10"/>
      <c r="M23" s="15"/>
      <c r="N23" s="8"/>
      <c r="O23" s="12"/>
      <c r="P23" s="10"/>
      <c r="Q23" s="15"/>
      <c r="R23" s="8"/>
      <c r="S23" s="13"/>
      <c r="T23" s="11"/>
      <c r="U23" s="15"/>
      <c r="V23" s="8"/>
      <c r="W23" s="13"/>
      <c r="X23" s="11"/>
      <c r="Y23" s="11"/>
      <c r="Z23" s="11"/>
      <c r="AA23" s="11"/>
      <c r="AB23" s="11"/>
      <c r="AC23" s="11"/>
      <c r="AD23" s="11"/>
      <c r="AE23" s="11"/>
      <c r="AF23" s="11"/>
      <c r="AG23" s="11"/>
      <c r="AH23" s="11"/>
      <c r="AI23" s="11"/>
    </row>
    <row r="24" spans="1:35" x14ac:dyDescent="0.2">
      <c r="A24" s="65" t="s">
        <v>40</v>
      </c>
      <c r="B24" s="29">
        <v>0.19078115573890053</v>
      </c>
      <c r="C24" s="64">
        <v>0.11238556332504254</v>
      </c>
      <c r="D24" s="29">
        <v>7.2415927839237754E-2</v>
      </c>
      <c r="E24" s="60"/>
      <c r="F24" s="29"/>
      <c r="G24" s="29"/>
      <c r="H24" s="14"/>
      <c r="I24" s="15"/>
      <c r="J24" s="8"/>
      <c r="K24" s="12"/>
      <c r="L24" s="10"/>
      <c r="M24" s="15"/>
      <c r="N24" s="8"/>
      <c r="O24" s="12"/>
      <c r="P24" s="10"/>
      <c r="Q24" s="15"/>
      <c r="R24" s="8"/>
      <c r="S24" s="13"/>
      <c r="T24" s="11"/>
      <c r="U24" s="15"/>
      <c r="V24" s="8"/>
      <c r="W24" s="13"/>
      <c r="X24" s="11"/>
      <c r="Y24" s="11"/>
      <c r="Z24" s="11"/>
      <c r="AA24" s="11"/>
      <c r="AB24" s="11"/>
      <c r="AC24" s="11"/>
      <c r="AD24" s="11"/>
      <c r="AE24" s="11"/>
      <c r="AF24" s="11"/>
      <c r="AG24" s="11"/>
      <c r="AH24" s="11"/>
      <c r="AI24" s="11"/>
    </row>
    <row r="25" spans="1:35" x14ac:dyDescent="0.2">
      <c r="A25" s="65" t="s">
        <v>27</v>
      </c>
      <c r="B25" s="66">
        <v>0.24847272521016847</v>
      </c>
      <c r="C25" s="64">
        <v>0.11674427799335579</v>
      </c>
      <c r="D25" s="29">
        <v>4.7469980184728984E-2</v>
      </c>
      <c r="E25" s="60"/>
      <c r="F25" s="29"/>
      <c r="G25" s="29"/>
      <c r="H25" s="14"/>
      <c r="I25" s="15"/>
      <c r="J25" s="8"/>
      <c r="K25" s="12"/>
      <c r="L25" s="10"/>
      <c r="M25" s="15"/>
      <c r="N25" s="8"/>
      <c r="O25" s="12"/>
      <c r="P25" s="10"/>
      <c r="Q25" s="15"/>
      <c r="R25" s="8"/>
      <c r="S25" s="13"/>
      <c r="T25" s="11"/>
      <c r="U25" s="15"/>
      <c r="V25" s="8"/>
      <c r="W25" s="13"/>
      <c r="X25" s="11"/>
      <c r="Y25" s="11"/>
      <c r="Z25" s="11"/>
      <c r="AA25" s="11"/>
      <c r="AB25" s="11"/>
      <c r="AC25" s="11"/>
      <c r="AD25" s="11"/>
      <c r="AE25" s="11"/>
      <c r="AF25" s="11"/>
      <c r="AG25" s="11"/>
      <c r="AH25" s="11"/>
      <c r="AI25" s="11"/>
    </row>
    <row r="26" spans="1:35" x14ac:dyDescent="0.2">
      <c r="A26" s="65" t="s">
        <v>41</v>
      </c>
      <c r="B26" s="29">
        <v>0.14053943101871672</v>
      </c>
      <c r="C26" s="64">
        <v>5.0315800446960386E-2</v>
      </c>
      <c r="D26" s="29">
        <v>4.6433823594909655E-2</v>
      </c>
      <c r="E26" s="60"/>
      <c r="F26" s="29"/>
      <c r="G26" s="29"/>
      <c r="H26" s="14"/>
      <c r="I26" s="15"/>
      <c r="J26" s="8"/>
      <c r="K26" s="12"/>
      <c r="L26" s="10"/>
      <c r="M26" s="15"/>
      <c r="N26" s="8"/>
      <c r="O26" s="12"/>
      <c r="P26" s="10"/>
      <c r="Q26" s="15"/>
      <c r="R26" s="8"/>
      <c r="S26" s="13"/>
      <c r="T26" s="11"/>
      <c r="U26" s="15"/>
      <c r="V26" s="8"/>
      <c r="W26" s="13"/>
      <c r="X26" s="11"/>
      <c r="Y26" s="11"/>
      <c r="Z26" s="11"/>
      <c r="AA26" s="11"/>
      <c r="AB26" s="11"/>
      <c r="AC26" s="11"/>
      <c r="AD26" s="11"/>
      <c r="AE26" s="11"/>
      <c r="AF26" s="11"/>
      <c r="AG26" s="11"/>
      <c r="AH26" s="11"/>
      <c r="AI26" s="11"/>
    </row>
    <row r="27" spans="1:35" x14ac:dyDescent="0.2">
      <c r="A27" s="65" t="s">
        <v>125</v>
      </c>
      <c r="B27" s="29">
        <v>0.1994028542721932</v>
      </c>
      <c r="C27" s="64">
        <v>7.5118070600651871E-2</v>
      </c>
      <c r="D27" s="29">
        <v>4.7439676994589938E-2</v>
      </c>
      <c r="E27" s="60"/>
      <c r="F27" s="29"/>
      <c r="G27" s="29"/>
      <c r="H27" s="14"/>
      <c r="I27" s="15"/>
      <c r="J27" s="8"/>
      <c r="K27" s="12"/>
      <c r="L27" s="10"/>
      <c r="M27" s="15"/>
      <c r="N27" s="8"/>
      <c r="O27" s="12"/>
      <c r="P27" s="10"/>
      <c r="Q27" s="15"/>
      <c r="R27" s="8"/>
      <c r="S27" s="13"/>
      <c r="T27" s="11"/>
      <c r="U27" s="15"/>
      <c r="V27" s="8"/>
      <c r="W27" s="13"/>
      <c r="X27" s="11"/>
      <c r="Y27" s="11"/>
      <c r="Z27" s="11"/>
      <c r="AA27" s="11"/>
      <c r="AB27" s="11"/>
      <c r="AC27" s="11"/>
      <c r="AD27" s="11"/>
      <c r="AE27" s="11"/>
      <c r="AF27" s="11"/>
      <c r="AG27" s="11"/>
      <c r="AH27" s="11"/>
      <c r="AI27" s="11"/>
    </row>
    <row r="28" spans="1:35" x14ac:dyDescent="0.2">
      <c r="A28" s="65" t="s">
        <v>126</v>
      </c>
      <c r="B28" s="29">
        <v>0.1742177324841872</v>
      </c>
      <c r="C28" s="64">
        <v>7.678467430656126E-2</v>
      </c>
      <c r="D28" s="29">
        <v>4.6218314678102217E-2</v>
      </c>
      <c r="E28" s="60"/>
      <c r="F28" s="29"/>
      <c r="G28" s="29"/>
      <c r="H28" s="14"/>
      <c r="I28" s="15"/>
      <c r="J28" s="8"/>
      <c r="K28" s="12"/>
      <c r="L28" s="10"/>
      <c r="M28" s="15"/>
      <c r="N28" s="8"/>
      <c r="O28" s="12"/>
      <c r="P28" s="10"/>
      <c r="Q28" s="15"/>
      <c r="R28" s="8"/>
      <c r="S28" s="13"/>
      <c r="T28" s="11"/>
      <c r="U28" s="15"/>
      <c r="V28" s="8"/>
      <c r="W28" s="13"/>
      <c r="X28" s="11"/>
      <c r="Y28" s="11"/>
      <c r="Z28" s="11"/>
      <c r="AA28" s="11"/>
      <c r="AB28" s="11"/>
      <c r="AC28" s="11"/>
      <c r="AD28" s="11"/>
      <c r="AE28" s="11"/>
      <c r="AF28" s="11"/>
      <c r="AG28" s="11"/>
      <c r="AH28" s="11"/>
      <c r="AI28" s="11"/>
    </row>
    <row r="29" spans="1:35" x14ac:dyDescent="0.2">
      <c r="A29" s="65" t="s">
        <v>42</v>
      </c>
      <c r="B29" s="29">
        <v>6.3497814615300713E-2</v>
      </c>
      <c r="C29" s="64">
        <v>3.4826790838294971E-2</v>
      </c>
      <c r="D29" s="29">
        <v>1.4229355051790238E-2</v>
      </c>
      <c r="E29" s="60"/>
      <c r="F29" s="29"/>
      <c r="G29" s="29"/>
      <c r="H29" s="14"/>
      <c r="I29" s="15"/>
      <c r="J29" s="8"/>
      <c r="K29" s="12"/>
      <c r="L29" s="10"/>
      <c r="M29" s="15"/>
      <c r="N29" s="8"/>
      <c r="O29" s="12"/>
      <c r="P29" s="10"/>
      <c r="Q29" s="15"/>
      <c r="R29" s="8"/>
      <c r="S29" s="13"/>
      <c r="T29" s="11"/>
      <c r="U29" s="15"/>
      <c r="V29" s="8"/>
      <c r="W29" s="13"/>
      <c r="X29" s="11"/>
      <c r="Y29" s="11"/>
      <c r="Z29" s="11"/>
      <c r="AA29" s="11"/>
      <c r="AB29" s="11"/>
      <c r="AC29" s="11"/>
      <c r="AD29" s="11"/>
      <c r="AE29" s="11"/>
      <c r="AF29" s="11"/>
      <c r="AG29" s="11"/>
      <c r="AH29" s="11"/>
      <c r="AI29" s="11"/>
    </row>
    <row r="30" spans="1:35" x14ac:dyDescent="0.2">
      <c r="A30" s="65" t="s">
        <v>20</v>
      </c>
      <c r="B30" s="29">
        <v>0.35722737186039311</v>
      </c>
      <c r="C30" s="64">
        <v>8.5552742827118611E-2</v>
      </c>
      <c r="D30" s="29">
        <v>7.5567694153562362E-2</v>
      </c>
      <c r="E30" s="60"/>
      <c r="F30" s="29"/>
      <c r="G30" s="29"/>
      <c r="H30" s="14"/>
      <c r="I30" s="15"/>
      <c r="J30" s="8"/>
      <c r="K30" s="12"/>
      <c r="L30" s="10"/>
      <c r="M30" s="15"/>
      <c r="N30" s="8"/>
      <c r="O30" s="12"/>
      <c r="P30" s="10"/>
      <c r="Q30" s="15"/>
      <c r="R30" s="8"/>
      <c r="S30" s="13"/>
      <c r="T30" s="11"/>
      <c r="U30" s="15"/>
      <c r="V30" s="8"/>
      <c r="W30" s="13"/>
      <c r="X30" s="11"/>
      <c r="Y30" s="11"/>
      <c r="Z30" s="11"/>
      <c r="AA30" s="11"/>
      <c r="AB30" s="11"/>
      <c r="AC30" s="11"/>
      <c r="AD30" s="11"/>
      <c r="AE30" s="11"/>
      <c r="AF30" s="11"/>
      <c r="AG30" s="11"/>
      <c r="AH30" s="11"/>
      <c r="AI30" s="11"/>
    </row>
    <row r="31" spans="1:35" x14ac:dyDescent="0.2">
      <c r="A31" s="65" t="s">
        <v>11</v>
      </c>
      <c r="B31" s="29">
        <v>9.5987110021663408E-2</v>
      </c>
      <c r="C31" s="64">
        <v>1.9944552069850179E-2</v>
      </c>
      <c r="D31" s="29">
        <v>2.0425174339808842E-2</v>
      </c>
      <c r="E31" s="60"/>
      <c r="F31" s="29"/>
      <c r="G31" s="29"/>
      <c r="H31" s="14"/>
      <c r="I31" s="15"/>
      <c r="J31" s="8"/>
      <c r="K31" s="12"/>
      <c r="L31" s="10"/>
      <c r="M31" s="15"/>
      <c r="N31" s="8"/>
      <c r="O31" s="12"/>
      <c r="P31" s="10"/>
      <c r="Q31" s="15"/>
      <c r="R31" s="8"/>
      <c r="S31" s="13"/>
      <c r="T31" s="11"/>
      <c r="U31" s="15"/>
      <c r="V31" s="8"/>
      <c r="W31" s="13"/>
      <c r="X31" s="11"/>
      <c r="Y31" s="11"/>
      <c r="Z31" s="11"/>
      <c r="AA31" s="11"/>
      <c r="AB31" s="11"/>
      <c r="AC31" s="11"/>
      <c r="AD31" s="11"/>
      <c r="AE31" s="11"/>
      <c r="AF31" s="11"/>
      <c r="AG31" s="11"/>
      <c r="AH31" s="11"/>
      <c r="AI31" s="11"/>
    </row>
    <row r="32" spans="1:35" x14ac:dyDescent="0.2">
      <c r="A32" s="65" t="s">
        <v>43</v>
      </c>
      <c r="B32" s="29">
        <v>6.0806359142403142E-2</v>
      </c>
      <c r="C32" s="64">
        <v>5.3883161459311331E-2</v>
      </c>
      <c r="D32" s="29">
        <v>4.8463299484909288E-2</v>
      </c>
      <c r="E32" s="60"/>
      <c r="F32" s="29"/>
      <c r="G32" s="29"/>
      <c r="H32" s="14"/>
      <c r="I32" s="15"/>
      <c r="J32" s="8"/>
      <c r="K32" s="12"/>
      <c r="L32" s="10"/>
      <c r="M32" s="15"/>
      <c r="N32" s="8"/>
      <c r="O32" s="12"/>
      <c r="P32" s="10"/>
      <c r="Q32" s="15"/>
      <c r="R32" s="8"/>
      <c r="S32" s="13"/>
      <c r="T32" s="11"/>
      <c r="U32" s="15"/>
      <c r="V32" s="8"/>
      <c r="W32" s="13"/>
      <c r="X32" s="11"/>
      <c r="Y32" s="11"/>
      <c r="Z32" s="11"/>
      <c r="AA32" s="11"/>
      <c r="AB32" s="11"/>
      <c r="AC32" s="11"/>
      <c r="AD32" s="11"/>
      <c r="AE32" s="11"/>
      <c r="AF32" s="11"/>
      <c r="AG32" s="11"/>
      <c r="AH32" s="11"/>
      <c r="AI32" s="11"/>
    </row>
    <row r="33" spans="1:35" x14ac:dyDescent="0.2">
      <c r="A33" s="65" t="s">
        <v>44</v>
      </c>
      <c r="B33" s="29">
        <v>0.15614807189775401</v>
      </c>
      <c r="C33" s="64">
        <v>0.19808531610565877</v>
      </c>
      <c r="D33" s="29">
        <v>9.4842219134228065E-2</v>
      </c>
      <c r="E33" s="60"/>
      <c r="F33" s="29"/>
      <c r="G33" s="29"/>
      <c r="H33" s="14"/>
      <c r="I33" s="15"/>
      <c r="J33" s="8"/>
      <c r="K33" s="12"/>
      <c r="L33" s="10"/>
      <c r="M33" s="15"/>
      <c r="N33" s="8"/>
      <c r="O33" s="12"/>
      <c r="P33" s="10"/>
      <c r="Q33" s="15"/>
      <c r="R33" s="8"/>
      <c r="S33" s="13"/>
      <c r="T33" s="11"/>
      <c r="U33" s="15"/>
      <c r="V33" s="8"/>
      <c r="W33" s="13"/>
      <c r="X33" s="11"/>
      <c r="Y33" s="11"/>
      <c r="Z33" s="11"/>
      <c r="AA33" s="11"/>
      <c r="AB33" s="11"/>
      <c r="AC33" s="11"/>
      <c r="AD33" s="11"/>
      <c r="AE33" s="11"/>
      <c r="AF33" s="11"/>
      <c r="AG33" s="11"/>
      <c r="AH33" s="11"/>
      <c r="AI33" s="11"/>
    </row>
    <row r="34" spans="1:35" x14ac:dyDescent="0.2">
      <c r="A34" s="65" t="s">
        <v>45</v>
      </c>
      <c r="B34" s="29">
        <v>7.1515919392936361E-2</v>
      </c>
      <c r="C34" s="64">
        <v>0.1130655972697981</v>
      </c>
      <c r="D34" s="29">
        <v>3.6656218318941489E-2</v>
      </c>
      <c r="E34" s="60"/>
      <c r="F34" s="29"/>
      <c r="G34" s="29"/>
      <c r="H34" s="14"/>
      <c r="I34" s="15"/>
      <c r="J34" s="8"/>
      <c r="K34" s="12"/>
      <c r="L34" s="10"/>
      <c r="M34" s="15"/>
      <c r="N34" s="8"/>
      <c r="O34" s="12"/>
      <c r="P34" s="10"/>
      <c r="Q34" s="15"/>
      <c r="R34" s="8"/>
      <c r="S34" s="13"/>
      <c r="T34" s="11"/>
      <c r="U34" s="15"/>
      <c r="V34" s="8"/>
      <c r="W34" s="13"/>
      <c r="X34" s="11"/>
      <c r="Y34" s="11"/>
      <c r="Z34" s="11"/>
      <c r="AA34" s="11"/>
      <c r="AB34" s="11"/>
      <c r="AC34" s="11"/>
      <c r="AD34" s="11"/>
      <c r="AE34" s="11"/>
      <c r="AF34" s="11"/>
      <c r="AG34" s="11"/>
      <c r="AH34" s="11"/>
      <c r="AI34" s="11"/>
    </row>
    <row r="35" spans="1:35" x14ac:dyDescent="0.2">
      <c r="A35" s="65" t="s">
        <v>123</v>
      </c>
      <c r="B35" s="29">
        <v>0.27152727427888301</v>
      </c>
      <c r="C35" s="64">
        <v>0.1691930269499102</v>
      </c>
      <c r="D35" s="29">
        <v>0.16463318754486236</v>
      </c>
      <c r="E35" s="60"/>
      <c r="F35" s="29"/>
      <c r="G35" s="29"/>
      <c r="H35" s="14"/>
      <c r="I35" s="15"/>
      <c r="J35" s="8"/>
      <c r="K35" s="12"/>
      <c r="L35" s="10"/>
      <c r="M35" s="15"/>
      <c r="N35" s="8"/>
      <c r="O35" s="12"/>
      <c r="P35" s="10"/>
      <c r="Q35" s="15"/>
      <c r="R35" s="8"/>
      <c r="S35" s="13"/>
      <c r="T35" s="11"/>
      <c r="U35" s="15"/>
      <c r="V35" s="8"/>
      <c r="W35" s="13"/>
      <c r="X35" s="11"/>
      <c r="Y35" s="11"/>
      <c r="Z35" s="11"/>
      <c r="AA35" s="11"/>
      <c r="AB35" s="11"/>
      <c r="AC35" s="11"/>
      <c r="AD35" s="11"/>
      <c r="AE35" s="11"/>
      <c r="AF35" s="11"/>
      <c r="AG35" s="11"/>
      <c r="AH35" s="11"/>
      <c r="AI35" s="11"/>
    </row>
    <row r="36" spans="1:35" x14ac:dyDescent="0.2">
      <c r="A36" s="65" t="s">
        <v>32</v>
      </c>
      <c r="B36" s="29">
        <v>0.40075426923633284</v>
      </c>
      <c r="C36" s="64">
        <v>0.16869563962388831</v>
      </c>
      <c r="D36" s="29">
        <v>0.13396018798828668</v>
      </c>
      <c r="E36" s="60"/>
      <c r="F36" s="29"/>
      <c r="G36" s="29"/>
      <c r="H36" s="14"/>
      <c r="I36" s="15"/>
      <c r="J36" s="8"/>
      <c r="K36" s="12"/>
      <c r="L36" s="10"/>
      <c r="M36" s="15"/>
      <c r="N36" s="8"/>
      <c r="O36" s="12"/>
      <c r="P36" s="10"/>
      <c r="Q36" s="15"/>
      <c r="R36" s="8"/>
      <c r="S36" s="13"/>
      <c r="T36" s="11"/>
      <c r="U36" s="15"/>
      <c r="V36" s="8"/>
      <c r="W36" s="13"/>
      <c r="X36" s="11"/>
      <c r="Y36" s="11"/>
      <c r="Z36" s="11"/>
      <c r="AA36" s="11"/>
      <c r="AB36" s="11"/>
      <c r="AC36" s="11"/>
      <c r="AD36" s="11"/>
      <c r="AE36" s="11"/>
      <c r="AF36" s="11"/>
      <c r="AG36" s="11"/>
      <c r="AH36" s="11"/>
      <c r="AI36" s="11"/>
    </row>
    <row r="37" spans="1:35" x14ac:dyDescent="0.2">
      <c r="A37" s="65" t="s">
        <v>46</v>
      </c>
      <c r="B37" s="29">
        <v>0.15296107333579503</v>
      </c>
      <c r="C37" s="64">
        <v>5.1698321267549502E-2</v>
      </c>
      <c r="D37" s="29">
        <v>1.8332386407579407E-2</v>
      </c>
      <c r="E37" s="60"/>
      <c r="F37" s="29"/>
      <c r="G37" s="29"/>
      <c r="H37" s="14"/>
      <c r="I37" s="15"/>
      <c r="J37" s="8"/>
      <c r="K37" s="12"/>
      <c r="L37" s="10"/>
      <c r="M37" s="15"/>
      <c r="N37" s="8"/>
      <c r="O37" s="12"/>
      <c r="P37" s="10"/>
      <c r="Q37" s="15"/>
      <c r="R37" s="8"/>
      <c r="S37" s="13"/>
      <c r="T37" s="11"/>
      <c r="U37" s="15"/>
      <c r="V37" s="8"/>
      <c r="W37" s="13"/>
      <c r="X37" s="11"/>
      <c r="Y37" s="11"/>
      <c r="Z37" s="11"/>
      <c r="AA37" s="11"/>
      <c r="AB37" s="11"/>
      <c r="AC37" s="11"/>
      <c r="AD37" s="11"/>
      <c r="AE37" s="11"/>
      <c r="AF37" s="11"/>
      <c r="AG37" s="11"/>
      <c r="AH37" s="11"/>
      <c r="AI37" s="11"/>
    </row>
    <row r="38" spans="1:35" x14ac:dyDescent="0.2">
      <c r="A38" s="65" t="s">
        <v>47</v>
      </c>
      <c r="B38" s="29">
        <v>6.6145075472459319E-2</v>
      </c>
      <c r="C38" s="64">
        <v>4.8560849847917899E-2</v>
      </c>
      <c r="D38" s="29">
        <v>4.1370613293627068E-2</v>
      </c>
      <c r="F38" s="203"/>
      <c r="G38" s="29"/>
      <c r="H38" s="14"/>
      <c r="I38" s="15"/>
      <c r="J38" s="8"/>
      <c r="K38" s="12"/>
      <c r="L38" s="10"/>
      <c r="M38" s="15"/>
      <c r="N38" s="8"/>
      <c r="O38" s="12"/>
      <c r="P38" s="10"/>
      <c r="Q38" s="15"/>
      <c r="R38" s="8"/>
      <c r="S38" s="13"/>
      <c r="T38" s="11"/>
      <c r="U38" s="15"/>
      <c r="V38" s="8"/>
      <c r="W38" s="13"/>
      <c r="X38" s="11"/>
      <c r="Y38" s="11"/>
      <c r="Z38" s="11"/>
      <c r="AA38" s="11"/>
      <c r="AB38" s="11"/>
      <c r="AC38" s="11"/>
      <c r="AD38" s="11"/>
      <c r="AE38" s="11"/>
      <c r="AF38" s="11"/>
      <c r="AG38" s="11"/>
      <c r="AH38" s="11"/>
      <c r="AI38" s="11"/>
    </row>
    <row r="39" spans="1:35" x14ac:dyDescent="0.2">
      <c r="A39" s="65" t="s">
        <v>5</v>
      </c>
      <c r="B39" s="66">
        <v>0.50824698342254193</v>
      </c>
      <c r="C39" s="64">
        <v>0.18447474609737227</v>
      </c>
      <c r="D39" s="29">
        <v>0.14204397242587571</v>
      </c>
      <c r="E39" s="60"/>
      <c r="F39" s="29"/>
      <c r="G39" s="29"/>
      <c r="H39" s="14"/>
      <c r="I39" s="15"/>
      <c r="J39" s="8"/>
      <c r="K39" s="12"/>
      <c r="L39" s="10"/>
      <c r="M39" s="15"/>
      <c r="N39" s="8"/>
      <c r="O39" s="12"/>
      <c r="P39" s="10"/>
      <c r="Q39" s="15"/>
      <c r="R39" s="8"/>
      <c r="S39" s="13"/>
      <c r="T39" s="11"/>
      <c r="U39" s="15"/>
      <c r="V39" s="8"/>
      <c r="W39" s="13"/>
      <c r="X39" s="11"/>
      <c r="Y39" s="11"/>
      <c r="Z39" s="11"/>
      <c r="AA39" s="11"/>
      <c r="AB39" s="11"/>
      <c r="AC39" s="11"/>
      <c r="AD39" s="11"/>
      <c r="AE39" s="11"/>
      <c r="AF39" s="11"/>
      <c r="AG39" s="11"/>
      <c r="AH39" s="11"/>
      <c r="AI39" s="11"/>
    </row>
    <row r="40" spans="1:35" x14ac:dyDescent="0.2">
      <c r="A40" s="65" t="s">
        <v>121</v>
      </c>
      <c r="B40" s="66">
        <v>0.13614303594936825</v>
      </c>
      <c r="C40" s="64">
        <v>9.8897595740027044E-2</v>
      </c>
      <c r="D40" s="29">
        <v>8.3568653125037182E-2</v>
      </c>
      <c r="E40" s="60"/>
      <c r="F40" s="29"/>
      <c r="G40" s="29"/>
      <c r="H40" s="14"/>
      <c r="I40" s="15"/>
      <c r="J40" s="8"/>
      <c r="K40" s="12"/>
      <c r="L40" s="10"/>
      <c r="M40" s="15"/>
      <c r="N40" s="8"/>
      <c r="O40" s="12"/>
      <c r="P40" s="10"/>
      <c r="Q40" s="15"/>
      <c r="R40" s="8"/>
      <c r="S40" s="13"/>
      <c r="T40" s="11"/>
      <c r="U40" s="15"/>
      <c r="V40" s="8"/>
      <c r="W40" s="13"/>
      <c r="X40" s="11"/>
      <c r="Y40" s="11"/>
      <c r="Z40" s="11"/>
      <c r="AA40" s="11"/>
      <c r="AB40" s="11"/>
      <c r="AC40" s="11"/>
      <c r="AD40" s="11"/>
      <c r="AE40" s="11"/>
      <c r="AF40" s="11"/>
      <c r="AG40" s="11"/>
      <c r="AH40" s="11"/>
      <c r="AI40" s="11"/>
    </row>
    <row r="41" spans="1:35" x14ac:dyDescent="0.2">
      <c r="A41" s="65" t="s">
        <v>48</v>
      </c>
      <c r="B41" s="29">
        <v>0.20806297310867167</v>
      </c>
      <c r="C41" s="64">
        <v>3.8540669802749103E-2</v>
      </c>
      <c r="D41" s="29">
        <v>1.5054404376307232E-2</v>
      </c>
      <c r="E41" s="60"/>
      <c r="F41" s="29"/>
      <c r="G41" s="29"/>
      <c r="H41" s="14"/>
      <c r="I41" s="15"/>
      <c r="J41" s="8"/>
      <c r="K41" s="12"/>
      <c r="L41" s="10"/>
      <c r="M41" s="15"/>
      <c r="N41" s="8"/>
      <c r="O41" s="12"/>
      <c r="P41" s="10"/>
      <c r="Q41" s="15"/>
      <c r="R41" s="8"/>
      <c r="S41" s="13"/>
      <c r="T41" s="11"/>
      <c r="U41" s="15"/>
      <c r="V41" s="8"/>
      <c r="W41" s="13"/>
      <c r="X41" s="11"/>
      <c r="Y41" s="11"/>
      <c r="Z41" s="11"/>
      <c r="AA41" s="11"/>
      <c r="AB41" s="11"/>
      <c r="AC41" s="11"/>
      <c r="AD41" s="11"/>
      <c r="AE41" s="11"/>
      <c r="AF41" s="11"/>
      <c r="AG41" s="11"/>
      <c r="AH41" s="11"/>
      <c r="AI41" s="11"/>
    </row>
    <row r="42" spans="1:35" x14ac:dyDescent="0.2">
      <c r="B42" s="29"/>
      <c r="C42" s="29"/>
      <c r="D42" s="29"/>
      <c r="E42" s="60"/>
      <c r="F42" s="29"/>
      <c r="G42" s="29"/>
      <c r="H42" s="11"/>
      <c r="I42" s="15"/>
      <c r="J42" s="10"/>
      <c r="K42" s="12"/>
      <c r="L42" s="10"/>
      <c r="M42" s="15"/>
      <c r="N42" s="10"/>
      <c r="O42" s="12"/>
      <c r="P42" s="10"/>
      <c r="Q42" s="15"/>
      <c r="R42" s="10"/>
      <c r="S42" s="13"/>
      <c r="T42" s="11"/>
      <c r="U42" s="15"/>
      <c r="V42" s="10"/>
      <c r="W42" s="13"/>
      <c r="X42" s="11"/>
      <c r="Y42" s="11"/>
      <c r="Z42" s="11"/>
      <c r="AA42" s="11"/>
      <c r="AB42" s="11"/>
      <c r="AC42" s="11"/>
      <c r="AD42" s="11"/>
      <c r="AE42" s="11"/>
      <c r="AF42" s="11"/>
      <c r="AG42" s="11"/>
      <c r="AH42" s="11"/>
      <c r="AI42" s="11"/>
    </row>
    <row r="43" spans="1:35" x14ac:dyDescent="0.2">
      <c r="A43" s="67" t="s">
        <v>49</v>
      </c>
      <c r="B43" s="68">
        <v>0.23271788619668685</v>
      </c>
      <c r="C43" s="68">
        <v>9.8473017507602817E-2</v>
      </c>
      <c r="D43" s="68">
        <v>7.2969015794922043E-2</v>
      </c>
      <c r="E43" s="60"/>
      <c r="F43" s="29"/>
      <c r="G43" s="29"/>
      <c r="H43" s="16"/>
      <c r="I43" s="15"/>
      <c r="J43" s="8"/>
      <c r="K43" s="12"/>
      <c r="L43" s="10"/>
      <c r="M43" s="15"/>
      <c r="N43" s="8"/>
      <c r="O43" s="12"/>
      <c r="P43" s="10"/>
      <c r="Q43" s="15"/>
      <c r="R43" s="8"/>
      <c r="S43" s="13"/>
      <c r="T43" s="11"/>
      <c r="U43" s="15"/>
      <c r="V43" s="8"/>
      <c r="W43" s="13"/>
      <c r="X43" s="11"/>
      <c r="Y43" s="11"/>
      <c r="Z43" s="11"/>
      <c r="AA43" s="11"/>
      <c r="AB43" s="11"/>
      <c r="AC43" s="11"/>
      <c r="AD43" s="11"/>
      <c r="AE43" s="11"/>
      <c r="AF43" s="11"/>
      <c r="AG43" s="11"/>
      <c r="AH43" s="11"/>
      <c r="AI43" s="11"/>
    </row>
    <row r="44" spans="1:35" x14ac:dyDescent="0.2">
      <c r="A44" s="57"/>
      <c r="B44" s="69"/>
      <c r="C44" s="69"/>
      <c r="D44" s="69"/>
      <c r="E44" s="60"/>
      <c r="F44" s="60"/>
      <c r="G44" s="60"/>
      <c r="H44" s="11"/>
      <c r="I44" s="10"/>
      <c r="J44" s="10"/>
      <c r="K44" s="10"/>
      <c r="L44" s="10"/>
      <c r="M44" s="10"/>
      <c r="N44" s="10"/>
      <c r="O44" s="10"/>
      <c r="P44" s="10"/>
      <c r="Q44" s="10"/>
      <c r="R44" s="11"/>
      <c r="S44" s="11"/>
      <c r="T44" s="11"/>
      <c r="U44" s="11"/>
      <c r="V44" s="11"/>
      <c r="W44" s="11"/>
      <c r="X44" s="11"/>
      <c r="Y44" s="11"/>
      <c r="Z44" s="11"/>
      <c r="AA44" s="11"/>
      <c r="AB44" s="11"/>
      <c r="AC44" s="11"/>
      <c r="AD44" s="11"/>
      <c r="AE44" s="11"/>
      <c r="AF44" s="11"/>
      <c r="AG44" s="11"/>
      <c r="AH44" s="11"/>
      <c r="AI44" s="11"/>
    </row>
    <row r="45" spans="1:35" x14ac:dyDescent="0.2">
      <c r="A45" s="60" t="s">
        <v>50</v>
      </c>
      <c r="E45" s="60"/>
      <c r="F45" s="60"/>
      <c r="G45" s="60"/>
      <c r="H45" s="11"/>
      <c r="I45" s="10"/>
      <c r="J45" s="10"/>
      <c r="K45" s="10"/>
      <c r="L45" s="10"/>
      <c r="M45" s="10"/>
      <c r="N45" s="10"/>
      <c r="O45" s="10"/>
      <c r="P45" s="10"/>
      <c r="Q45" s="10"/>
      <c r="R45" s="11"/>
      <c r="S45" s="11"/>
      <c r="T45" s="11"/>
      <c r="U45" s="11"/>
      <c r="V45" s="11"/>
      <c r="W45" s="11"/>
      <c r="X45" s="11"/>
      <c r="Y45" s="11"/>
      <c r="Z45" s="11"/>
      <c r="AA45" s="11"/>
      <c r="AB45" s="11"/>
      <c r="AC45" s="11"/>
      <c r="AD45" s="11"/>
      <c r="AE45" s="11"/>
      <c r="AF45" s="11"/>
      <c r="AG45" s="11"/>
      <c r="AH45" s="11"/>
      <c r="AI45" s="11"/>
    </row>
    <row r="46" spans="1:35" x14ac:dyDescent="0.2">
      <c r="E46" s="60"/>
      <c r="F46" s="60"/>
      <c r="G46" s="60"/>
      <c r="H46" s="11"/>
      <c r="I46" s="10"/>
      <c r="J46" s="10"/>
      <c r="K46" s="10"/>
      <c r="L46" s="10"/>
      <c r="M46" s="10"/>
      <c r="N46" s="10"/>
      <c r="O46" s="10"/>
      <c r="P46" s="10"/>
      <c r="Q46" s="10"/>
      <c r="R46" s="11"/>
      <c r="S46" s="11"/>
      <c r="T46" s="11"/>
      <c r="U46" s="11"/>
      <c r="V46" s="11"/>
      <c r="W46" s="11"/>
      <c r="X46" s="11"/>
      <c r="Y46" s="11"/>
      <c r="Z46" s="11"/>
      <c r="AA46" s="11"/>
      <c r="AB46" s="11"/>
      <c r="AC46" s="11"/>
      <c r="AD46" s="11"/>
      <c r="AE46" s="11"/>
      <c r="AF46" s="11"/>
      <c r="AG46" s="11"/>
      <c r="AH46" s="11"/>
      <c r="AI46" s="11"/>
    </row>
    <row r="47" spans="1:35" x14ac:dyDescent="0.2">
      <c r="A47" s="287" t="s">
        <v>186</v>
      </c>
      <c r="B47" s="287"/>
      <c r="C47" s="287"/>
      <c r="D47" s="287"/>
      <c r="E47" s="287"/>
      <c r="F47" s="287"/>
      <c r="G47" s="287"/>
      <c r="H47" s="11"/>
      <c r="I47" s="10"/>
      <c r="J47" s="10"/>
      <c r="K47" s="10"/>
      <c r="L47" s="10"/>
      <c r="M47" s="10"/>
      <c r="N47" s="10"/>
      <c r="O47" s="10"/>
      <c r="P47" s="10"/>
      <c r="Q47" s="10"/>
      <c r="R47" s="11"/>
      <c r="S47" s="11"/>
      <c r="T47" s="11"/>
      <c r="U47" s="11"/>
      <c r="V47" s="11"/>
      <c r="W47" s="11"/>
      <c r="X47" s="11"/>
      <c r="Y47" s="11"/>
      <c r="Z47" s="11"/>
      <c r="AA47" s="11"/>
      <c r="AB47" s="11"/>
      <c r="AC47" s="11"/>
      <c r="AD47" s="11"/>
      <c r="AE47" s="11"/>
      <c r="AF47" s="11"/>
      <c r="AG47" s="11"/>
      <c r="AH47" s="11"/>
      <c r="AI47" s="11"/>
    </row>
    <row r="48" spans="1:35" x14ac:dyDescent="0.2">
      <c r="A48" s="287"/>
      <c r="B48" s="287"/>
      <c r="C48" s="287"/>
      <c r="D48" s="287"/>
      <c r="E48" s="287"/>
      <c r="F48" s="287"/>
      <c r="G48" s="287"/>
      <c r="H48" s="11"/>
      <c r="I48" s="10"/>
      <c r="J48" s="10"/>
      <c r="K48" s="10"/>
      <c r="L48" s="10"/>
      <c r="M48" s="10"/>
      <c r="N48" s="10"/>
      <c r="O48" s="10"/>
      <c r="P48" s="10"/>
      <c r="Q48" s="10"/>
      <c r="R48" s="11"/>
      <c r="S48" s="11"/>
      <c r="T48" s="11"/>
      <c r="U48" s="11"/>
      <c r="V48" s="11"/>
      <c r="W48" s="11"/>
      <c r="X48" s="11"/>
      <c r="Y48" s="11"/>
      <c r="Z48" s="11"/>
      <c r="AA48" s="11"/>
      <c r="AB48" s="11"/>
      <c r="AC48" s="11"/>
      <c r="AD48" s="11"/>
      <c r="AE48" s="11"/>
      <c r="AF48" s="11"/>
      <c r="AG48" s="11"/>
      <c r="AH48" s="11"/>
      <c r="AI48" s="11"/>
    </row>
    <row r="49" spans="1:35" ht="13.5" customHeight="1" x14ac:dyDescent="0.2">
      <c r="A49" s="287"/>
      <c r="B49" s="287"/>
      <c r="C49" s="287"/>
      <c r="D49" s="287"/>
      <c r="E49" s="287"/>
      <c r="F49" s="287"/>
      <c r="G49" s="287"/>
      <c r="H49" s="11"/>
      <c r="I49" s="10"/>
      <c r="J49" s="10"/>
      <c r="K49" s="10"/>
      <c r="L49" s="10"/>
      <c r="M49" s="10"/>
      <c r="N49" s="10"/>
      <c r="O49" s="10"/>
      <c r="P49" s="10"/>
      <c r="Q49" s="10"/>
      <c r="R49" s="11"/>
      <c r="S49" s="11"/>
      <c r="T49" s="11"/>
      <c r="U49" s="11"/>
      <c r="V49" s="11"/>
      <c r="W49" s="11"/>
      <c r="X49" s="11"/>
      <c r="Y49" s="11"/>
      <c r="Z49" s="11"/>
      <c r="AA49" s="11"/>
      <c r="AB49" s="11"/>
      <c r="AC49" s="11"/>
      <c r="AD49" s="11"/>
      <c r="AE49" s="11"/>
      <c r="AF49" s="11"/>
      <c r="AG49" s="11"/>
      <c r="AH49" s="11"/>
      <c r="AI49" s="11"/>
    </row>
    <row r="50" spans="1:35" x14ac:dyDescent="0.2">
      <c r="A50" s="288"/>
      <c r="B50" s="288"/>
      <c r="C50" s="288"/>
      <c r="D50" s="288"/>
      <c r="E50" s="288"/>
      <c r="F50" s="288"/>
      <c r="G50" s="288"/>
      <c r="H50" s="11"/>
      <c r="I50" s="10"/>
      <c r="J50" s="10"/>
      <c r="K50" s="10"/>
      <c r="L50" s="10"/>
      <c r="M50" s="10"/>
      <c r="N50" s="10"/>
      <c r="O50" s="10"/>
      <c r="P50" s="10"/>
      <c r="Q50" s="10"/>
      <c r="R50" s="11"/>
      <c r="S50" s="11"/>
      <c r="T50" s="11"/>
      <c r="U50" s="11"/>
      <c r="V50" s="11"/>
      <c r="W50" s="11"/>
      <c r="X50" s="11"/>
      <c r="Y50" s="11"/>
      <c r="Z50" s="11"/>
      <c r="AA50" s="11"/>
      <c r="AB50" s="11"/>
      <c r="AC50" s="11"/>
      <c r="AD50" s="11"/>
      <c r="AE50" s="11"/>
      <c r="AF50" s="11"/>
      <c r="AG50" s="11"/>
      <c r="AH50" s="11"/>
      <c r="AI50" s="11"/>
    </row>
    <row r="51" spans="1:35" ht="12.75" customHeight="1" x14ac:dyDescent="0.2">
      <c r="A51" s="288"/>
      <c r="B51" s="288"/>
      <c r="C51" s="288"/>
      <c r="D51" s="288"/>
      <c r="E51" s="288"/>
      <c r="F51" s="288"/>
      <c r="G51" s="288"/>
      <c r="H51" s="11"/>
      <c r="I51" s="10"/>
      <c r="J51" s="10"/>
      <c r="K51" s="8"/>
      <c r="L51" s="8"/>
      <c r="M51" s="8"/>
      <c r="N51" s="8"/>
      <c r="O51" s="8"/>
      <c r="P51" s="8"/>
      <c r="Q51" s="8"/>
      <c r="R51" s="11"/>
      <c r="S51" s="11"/>
      <c r="T51" s="11"/>
      <c r="U51" s="11"/>
      <c r="V51" s="11"/>
      <c r="W51" s="11"/>
      <c r="X51" s="11"/>
      <c r="Y51" s="11"/>
      <c r="Z51" s="11"/>
      <c r="AA51" s="11"/>
      <c r="AB51" s="11"/>
      <c r="AC51" s="11"/>
      <c r="AD51" s="11"/>
      <c r="AE51" s="11"/>
      <c r="AF51" s="11"/>
      <c r="AG51" s="11"/>
      <c r="AH51" s="11"/>
      <c r="AI51" s="11"/>
    </row>
    <row r="52" spans="1:35" x14ac:dyDescent="0.2">
      <c r="A52" s="288"/>
      <c r="B52" s="288"/>
      <c r="C52" s="288"/>
      <c r="D52" s="288"/>
      <c r="E52" s="288"/>
      <c r="F52" s="288"/>
      <c r="G52" s="288"/>
      <c r="H52" s="11"/>
      <c r="I52" s="10"/>
      <c r="J52" s="10"/>
      <c r="K52" s="8"/>
      <c r="L52" s="8"/>
      <c r="M52" s="8"/>
      <c r="N52" s="8"/>
      <c r="O52" s="8"/>
      <c r="P52" s="8"/>
      <c r="Q52" s="8"/>
      <c r="R52" s="11"/>
      <c r="S52" s="11"/>
      <c r="T52" s="11"/>
      <c r="U52" s="11"/>
      <c r="V52" s="11"/>
      <c r="W52" s="11"/>
      <c r="X52" s="11"/>
      <c r="Y52" s="11"/>
      <c r="Z52" s="11"/>
      <c r="AA52" s="11"/>
      <c r="AB52" s="11"/>
      <c r="AC52" s="11"/>
      <c r="AD52" s="11"/>
      <c r="AE52" s="11"/>
      <c r="AF52" s="11"/>
      <c r="AG52" s="11"/>
      <c r="AH52" s="11"/>
      <c r="AI52" s="11"/>
    </row>
    <row r="53" spans="1:35" x14ac:dyDescent="0.2">
      <c r="A53" s="288"/>
      <c r="B53" s="288"/>
      <c r="C53" s="288"/>
      <c r="D53" s="288"/>
      <c r="E53" s="288"/>
      <c r="F53" s="288"/>
      <c r="G53" s="288"/>
      <c r="H53" s="11"/>
      <c r="I53" s="10"/>
      <c r="J53" s="8"/>
      <c r="K53" s="8"/>
      <c r="L53" s="8"/>
      <c r="M53" s="8"/>
      <c r="N53" s="8"/>
      <c r="O53" s="8"/>
      <c r="P53" s="8"/>
      <c r="Q53" s="10"/>
      <c r="R53" s="11"/>
      <c r="S53" s="11"/>
      <c r="T53" s="11"/>
      <c r="U53" s="11"/>
      <c r="V53" s="11"/>
      <c r="W53" s="11"/>
      <c r="X53" s="11"/>
      <c r="Y53" s="11"/>
      <c r="Z53" s="11"/>
      <c r="AA53" s="11"/>
      <c r="AB53" s="11"/>
      <c r="AC53" s="11"/>
      <c r="AD53" s="11"/>
      <c r="AE53" s="11"/>
      <c r="AF53" s="11"/>
      <c r="AG53" s="11"/>
      <c r="AH53" s="11"/>
      <c r="AI53" s="11"/>
    </row>
    <row r="54" spans="1:35" x14ac:dyDescent="0.2">
      <c r="H54" s="11"/>
      <c r="I54" s="10"/>
      <c r="J54" s="8"/>
      <c r="K54" s="8"/>
      <c r="L54" s="8"/>
      <c r="M54" s="8"/>
      <c r="N54" s="8"/>
      <c r="O54" s="8"/>
      <c r="P54" s="8"/>
      <c r="Q54" s="10"/>
      <c r="R54" s="11"/>
      <c r="S54" s="11"/>
      <c r="T54" s="11"/>
      <c r="U54" s="11"/>
      <c r="V54" s="11"/>
      <c r="W54" s="11"/>
      <c r="X54" s="11"/>
      <c r="Y54" s="11"/>
      <c r="Z54" s="11"/>
      <c r="AA54" s="11"/>
      <c r="AB54" s="11"/>
      <c r="AC54" s="11"/>
      <c r="AD54" s="11"/>
      <c r="AE54" s="11"/>
      <c r="AF54" s="11"/>
      <c r="AG54" s="11"/>
      <c r="AH54" s="11"/>
      <c r="AI54" s="11"/>
    </row>
    <row r="55" spans="1:35" x14ac:dyDescent="0.2">
      <c r="A55" s="259" t="s">
        <v>164</v>
      </c>
      <c r="B55" s="259"/>
      <c r="C55" s="259"/>
      <c r="D55" s="259"/>
      <c r="E55" s="259"/>
      <c r="F55" s="259"/>
      <c r="G55" s="259"/>
      <c r="H55" s="11"/>
      <c r="I55" s="10"/>
      <c r="J55" s="10"/>
      <c r="K55" s="10"/>
      <c r="L55" s="10"/>
      <c r="M55" s="10"/>
      <c r="N55" s="10"/>
      <c r="O55" s="10"/>
      <c r="P55" s="10"/>
      <c r="Q55" s="10"/>
      <c r="R55" s="11"/>
      <c r="S55" s="11"/>
      <c r="T55" s="11"/>
      <c r="U55" s="11"/>
      <c r="V55" s="11"/>
      <c r="W55" s="11"/>
      <c r="X55" s="11"/>
      <c r="Y55" s="11"/>
      <c r="Z55" s="11"/>
      <c r="AA55" s="11"/>
      <c r="AB55" s="11"/>
      <c r="AC55" s="11"/>
      <c r="AD55" s="11"/>
      <c r="AE55" s="11"/>
      <c r="AF55" s="11"/>
      <c r="AG55" s="11"/>
      <c r="AH55" s="11"/>
      <c r="AI55" s="11"/>
    </row>
    <row r="56" spans="1:35" ht="12.75" customHeight="1" x14ac:dyDescent="0.2">
      <c r="A56" s="259"/>
      <c r="B56" s="259"/>
      <c r="C56" s="259"/>
      <c r="D56" s="259"/>
      <c r="E56" s="259"/>
      <c r="F56" s="259"/>
      <c r="G56" s="259"/>
      <c r="H56" s="202"/>
      <c r="I56" s="202"/>
      <c r="J56" s="202"/>
      <c r="K56" s="202"/>
      <c r="L56" s="202"/>
      <c r="M56" s="10"/>
      <c r="N56" s="10"/>
      <c r="O56" s="10"/>
      <c r="P56" s="10"/>
      <c r="Q56" s="10"/>
      <c r="R56" s="11"/>
      <c r="S56" s="11"/>
      <c r="T56" s="11"/>
      <c r="U56" s="11"/>
      <c r="V56" s="11"/>
      <c r="W56" s="11"/>
      <c r="X56" s="11"/>
      <c r="Y56" s="11"/>
      <c r="Z56" s="11"/>
      <c r="AA56" s="11"/>
      <c r="AB56" s="11"/>
      <c r="AC56" s="11"/>
      <c r="AD56" s="11"/>
      <c r="AE56" s="11"/>
      <c r="AF56" s="11"/>
      <c r="AG56" s="11"/>
      <c r="AH56" s="11"/>
      <c r="AI56" s="11"/>
    </row>
    <row r="57" spans="1:35" ht="15.75" customHeight="1" x14ac:dyDescent="0.2">
      <c r="A57" s="259"/>
      <c r="B57" s="259"/>
      <c r="C57" s="259"/>
      <c r="D57" s="259"/>
      <c r="E57" s="259"/>
      <c r="F57" s="259"/>
      <c r="G57" s="259"/>
      <c r="H57" s="202"/>
      <c r="I57" s="202"/>
      <c r="J57" s="202"/>
      <c r="K57" s="202"/>
      <c r="L57" s="202"/>
      <c r="M57" s="10"/>
      <c r="N57" s="10"/>
      <c r="O57" s="10"/>
      <c r="P57" s="10"/>
      <c r="Q57" s="10"/>
      <c r="R57" s="11"/>
      <c r="S57" s="11"/>
      <c r="T57" s="11"/>
      <c r="U57" s="11"/>
      <c r="V57" s="11"/>
      <c r="W57" s="11"/>
      <c r="X57" s="11"/>
      <c r="Y57" s="11"/>
      <c r="Z57" s="11"/>
      <c r="AA57" s="11"/>
      <c r="AB57" s="11"/>
      <c r="AC57" s="11"/>
      <c r="AD57" s="11"/>
      <c r="AE57" s="11"/>
      <c r="AF57" s="11"/>
      <c r="AG57" s="11"/>
      <c r="AH57" s="11"/>
      <c r="AI57" s="11"/>
    </row>
    <row r="58" spans="1:35" x14ac:dyDescent="0.2">
      <c r="H58" s="11"/>
      <c r="I58" s="10"/>
      <c r="J58" s="10"/>
      <c r="K58" s="10"/>
      <c r="L58" s="10"/>
      <c r="M58" s="10"/>
      <c r="N58" s="10"/>
      <c r="O58" s="10"/>
      <c r="P58" s="10"/>
      <c r="Q58" s="10"/>
      <c r="R58" s="11"/>
      <c r="S58" s="11"/>
      <c r="T58" s="11"/>
      <c r="U58" s="11"/>
      <c r="V58" s="11"/>
      <c r="W58" s="11"/>
      <c r="X58" s="11"/>
      <c r="Y58" s="11"/>
      <c r="Z58" s="11"/>
      <c r="AA58" s="11"/>
      <c r="AB58" s="11"/>
      <c r="AC58" s="11"/>
      <c r="AD58" s="11"/>
      <c r="AE58" s="11"/>
      <c r="AF58" s="11"/>
      <c r="AG58" s="11"/>
      <c r="AH58" s="11"/>
      <c r="AI58" s="11"/>
    </row>
    <row r="59" spans="1:35" x14ac:dyDescent="0.2">
      <c r="H59" s="11"/>
      <c r="I59" s="10"/>
      <c r="J59" s="10"/>
      <c r="K59" s="10"/>
      <c r="L59" s="10"/>
      <c r="M59" s="10"/>
      <c r="N59" s="10"/>
      <c r="O59" s="10"/>
      <c r="P59" s="10"/>
      <c r="Q59" s="10"/>
      <c r="R59" s="11"/>
      <c r="S59" s="11"/>
      <c r="T59" s="11"/>
      <c r="U59" s="11"/>
      <c r="V59" s="11"/>
      <c r="W59" s="11"/>
      <c r="X59" s="11"/>
      <c r="Y59" s="11"/>
      <c r="Z59" s="11"/>
      <c r="AA59" s="11"/>
      <c r="AB59" s="11"/>
      <c r="AC59" s="11"/>
      <c r="AD59" s="11"/>
      <c r="AE59" s="11"/>
      <c r="AF59" s="11"/>
      <c r="AG59" s="11"/>
      <c r="AH59" s="11"/>
      <c r="AI59" s="11"/>
    </row>
    <row r="60" spans="1:35" x14ac:dyDescent="0.2">
      <c r="H60" s="11"/>
      <c r="I60" s="10"/>
      <c r="J60" s="10"/>
      <c r="K60" s="10"/>
      <c r="L60" s="10"/>
      <c r="M60" s="10"/>
      <c r="N60" s="10"/>
      <c r="O60" s="10"/>
      <c r="P60" s="10"/>
      <c r="Q60" s="10"/>
      <c r="R60" s="11"/>
      <c r="S60" s="11"/>
      <c r="T60" s="11"/>
      <c r="U60" s="11"/>
      <c r="V60" s="11"/>
      <c r="W60" s="11"/>
      <c r="X60" s="11"/>
      <c r="Y60" s="11"/>
      <c r="Z60" s="11"/>
      <c r="AA60" s="11"/>
      <c r="AB60" s="11"/>
      <c r="AC60" s="11"/>
      <c r="AD60" s="11"/>
      <c r="AE60" s="11"/>
      <c r="AF60" s="11"/>
      <c r="AG60" s="11"/>
      <c r="AH60" s="11"/>
      <c r="AI60" s="11"/>
    </row>
    <row r="61" spans="1:35" x14ac:dyDescent="0.2">
      <c r="H61" s="11"/>
      <c r="I61" s="10"/>
      <c r="J61" s="10"/>
      <c r="K61" s="10"/>
      <c r="L61" s="10"/>
      <c r="M61" s="10"/>
      <c r="N61" s="10"/>
      <c r="O61" s="10"/>
      <c r="P61" s="10"/>
      <c r="Q61" s="10"/>
      <c r="R61" s="11"/>
      <c r="S61" s="11"/>
      <c r="T61" s="11"/>
      <c r="U61" s="11"/>
      <c r="V61" s="11"/>
      <c r="W61" s="11"/>
      <c r="X61" s="11"/>
      <c r="Y61" s="11"/>
      <c r="Z61" s="11"/>
      <c r="AA61" s="11"/>
      <c r="AB61" s="11"/>
      <c r="AC61" s="11"/>
      <c r="AD61" s="11"/>
      <c r="AE61" s="11"/>
      <c r="AF61" s="11"/>
      <c r="AG61" s="11"/>
      <c r="AH61" s="11"/>
      <c r="AI61" s="11"/>
    </row>
    <row r="65" spans="1:17" x14ac:dyDescent="0.2">
      <c r="A65" s="6"/>
      <c r="B65" s="6"/>
      <c r="C65" s="6"/>
      <c r="D65" s="6"/>
      <c r="E65" s="6"/>
      <c r="F65" s="6"/>
      <c r="G65" s="6"/>
      <c r="I65" s="6"/>
      <c r="J65" s="6"/>
      <c r="K65" s="6"/>
      <c r="L65" s="6"/>
      <c r="M65" s="6"/>
      <c r="N65" s="6"/>
      <c r="O65" s="6"/>
      <c r="P65" s="6"/>
      <c r="Q65" s="6"/>
    </row>
    <row r="66" spans="1:17" x14ac:dyDescent="0.2">
      <c r="A66" s="6"/>
      <c r="B66" s="6"/>
      <c r="C66" s="6"/>
      <c r="D66" s="6"/>
      <c r="E66" s="6"/>
      <c r="F66" s="6"/>
      <c r="G66" s="6"/>
      <c r="I66" s="6"/>
      <c r="J66" s="6"/>
      <c r="K66" s="6"/>
      <c r="L66" s="6"/>
      <c r="M66" s="6"/>
      <c r="N66" s="6"/>
      <c r="O66" s="6"/>
      <c r="P66" s="6"/>
      <c r="Q66" s="6"/>
    </row>
    <row r="67" spans="1:17" x14ac:dyDescent="0.2">
      <c r="A67" s="6"/>
      <c r="B67" s="6"/>
      <c r="C67" s="6"/>
      <c r="D67" s="6"/>
      <c r="E67" s="6"/>
      <c r="F67" s="6"/>
      <c r="G67" s="6"/>
      <c r="I67" s="6"/>
      <c r="J67" s="6"/>
      <c r="K67" s="6"/>
      <c r="L67" s="6"/>
      <c r="M67" s="6"/>
      <c r="N67" s="6"/>
      <c r="O67" s="6"/>
      <c r="P67" s="6"/>
      <c r="Q67" s="6"/>
    </row>
    <row r="68" spans="1:17" x14ac:dyDescent="0.2">
      <c r="A68" s="6"/>
      <c r="B68" s="6"/>
      <c r="C68" s="6"/>
      <c r="D68" s="6"/>
      <c r="E68" s="6"/>
      <c r="F68" s="6"/>
      <c r="G68" s="6"/>
      <c r="I68" s="6"/>
      <c r="J68" s="6"/>
      <c r="K68" s="6"/>
      <c r="L68" s="6"/>
      <c r="M68" s="6"/>
      <c r="N68" s="6"/>
      <c r="O68" s="6"/>
      <c r="P68" s="6"/>
      <c r="Q68" s="6"/>
    </row>
    <row r="69" spans="1:17" x14ac:dyDescent="0.2">
      <c r="A69" s="6"/>
      <c r="B69" s="6"/>
      <c r="C69" s="6"/>
      <c r="D69" s="6"/>
      <c r="E69" s="6"/>
      <c r="F69" s="6"/>
      <c r="G69" s="6"/>
      <c r="I69" s="6"/>
      <c r="J69" s="6"/>
      <c r="K69" s="6"/>
      <c r="L69" s="6"/>
      <c r="M69" s="6"/>
      <c r="N69" s="6"/>
      <c r="O69" s="6"/>
      <c r="P69" s="6"/>
      <c r="Q69" s="6"/>
    </row>
    <row r="70" spans="1:17" x14ac:dyDescent="0.2">
      <c r="A70" s="6"/>
      <c r="B70" s="6"/>
      <c r="C70" s="6"/>
      <c r="D70" s="6"/>
      <c r="E70" s="6"/>
      <c r="F70" s="6"/>
      <c r="G70" s="6"/>
      <c r="I70" s="6"/>
      <c r="J70" s="6"/>
      <c r="K70" s="6"/>
      <c r="L70" s="6"/>
      <c r="M70" s="6"/>
      <c r="N70" s="6"/>
      <c r="O70" s="6"/>
      <c r="P70" s="6"/>
      <c r="Q70" s="6"/>
    </row>
    <row r="71" spans="1:17" x14ac:dyDescent="0.2">
      <c r="A71" s="6"/>
      <c r="B71" s="6"/>
      <c r="C71" s="6"/>
      <c r="D71" s="6"/>
      <c r="E71" s="6"/>
      <c r="F71" s="6"/>
      <c r="G71" s="6"/>
      <c r="I71" s="6"/>
      <c r="J71" s="6"/>
      <c r="K71" s="6"/>
      <c r="L71" s="6"/>
      <c r="M71" s="6"/>
      <c r="N71" s="6"/>
      <c r="O71" s="6"/>
      <c r="P71" s="6"/>
      <c r="Q71" s="6"/>
    </row>
    <row r="72" spans="1:17" x14ac:dyDescent="0.2">
      <c r="A72" s="6"/>
      <c r="B72" s="6"/>
      <c r="C72" s="6"/>
      <c r="D72" s="6"/>
      <c r="E72" s="6"/>
      <c r="F72" s="6"/>
      <c r="G72" s="6"/>
      <c r="I72" s="6"/>
      <c r="J72" s="6"/>
      <c r="K72" s="6"/>
      <c r="L72" s="6"/>
      <c r="M72" s="6"/>
      <c r="N72" s="6"/>
      <c r="O72" s="6"/>
      <c r="P72" s="6"/>
      <c r="Q72" s="6"/>
    </row>
    <row r="73" spans="1:17" x14ac:dyDescent="0.2">
      <c r="A73" s="6"/>
      <c r="B73" s="6"/>
      <c r="C73" s="6"/>
      <c r="D73" s="6"/>
      <c r="E73" s="6"/>
      <c r="F73" s="6"/>
      <c r="G73" s="6"/>
      <c r="I73" s="6"/>
      <c r="J73" s="6"/>
      <c r="K73" s="6"/>
      <c r="L73" s="6"/>
      <c r="M73" s="6"/>
      <c r="N73" s="6"/>
      <c r="O73" s="6"/>
      <c r="P73" s="6"/>
      <c r="Q73" s="6"/>
    </row>
    <row r="74" spans="1:17" x14ac:dyDescent="0.2">
      <c r="A74" s="6"/>
      <c r="B74" s="6"/>
      <c r="C74" s="6"/>
      <c r="D74" s="6"/>
      <c r="E74" s="6"/>
      <c r="F74" s="6"/>
      <c r="G74" s="6"/>
      <c r="I74" s="6"/>
      <c r="J74" s="6"/>
      <c r="K74" s="6"/>
      <c r="L74" s="6"/>
      <c r="M74" s="6"/>
      <c r="N74" s="6"/>
      <c r="O74" s="6"/>
      <c r="P74" s="6"/>
      <c r="Q74" s="6"/>
    </row>
    <row r="75" spans="1:17" x14ac:dyDescent="0.2">
      <c r="A75" s="6"/>
      <c r="B75" s="6"/>
      <c r="C75" s="6"/>
      <c r="D75" s="6"/>
      <c r="E75" s="6"/>
      <c r="F75" s="6"/>
      <c r="G75" s="6"/>
      <c r="I75" s="6"/>
      <c r="J75" s="6"/>
      <c r="K75" s="6"/>
      <c r="L75" s="6"/>
      <c r="M75" s="6"/>
      <c r="N75" s="6"/>
      <c r="O75" s="6"/>
      <c r="P75" s="6"/>
      <c r="Q75" s="6"/>
    </row>
    <row r="76" spans="1:17" x14ac:dyDescent="0.2">
      <c r="A76" s="6"/>
      <c r="B76" s="6"/>
      <c r="C76" s="6"/>
      <c r="D76" s="6"/>
      <c r="E76" s="6"/>
      <c r="F76" s="6"/>
      <c r="G76" s="6"/>
      <c r="I76" s="6"/>
      <c r="J76" s="6"/>
      <c r="K76" s="6"/>
      <c r="L76" s="6"/>
      <c r="M76" s="6"/>
      <c r="N76" s="6"/>
      <c r="O76" s="6"/>
      <c r="P76" s="6"/>
      <c r="Q76" s="6"/>
    </row>
    <row r="77" spans="1:17" x14ac:dyDescent="0.2">
      <c r="A77" s="6"/>
      <c r="B77" s="6"/>
      <c r="C77" s="6"/>
      <c r="D77" s="6"/>
      <c r="E77" s="6"/>
      <c r="F77" s="6"/>
      <c r="G77" s="6"/>
      <c r="I77" s="6"/>
      <c r="J77" s="6"/>
      <c r="K77" s="6"/>
      <c r="L77" s="6"/>
      <c r="M77" s="6"/>
      <c r="N77" s="6"/>
      <c r="O77" s="6"/>
      <c r="P77" s="6"/>
      <c r="Q77" s="6"/>
    </row>
    <row r="78" spans="1:17" x14ac:dyDescent="0.2">
      <c r="A78" s="6"/>
      <c r="B78" s="6"/>
      <c r="C78" s="6"/>
      <c r="D78" s="6"/>
      <c r="E78" s="6"/>
      <c r="F78" s="6"/>
      <c r="G78" s="6"/>
      <c r="I78" s="6"/>
      <c r="J78" s="6"/>
      <c r="K78" s="6"/>
      <c r="L78" s="6"/>
      <c r="M78" s="6"/>
      <c r="N78" s="6"/>
      <c r="O78" s="6"/>
      <c r="P78" s="6"/>
      <c r="Q78" s="6"/>
    </row>
    <row r="79" spans="1:17" x14ac:dyDescent="0.2">
      <c r="A79" s="6"/>
      <c r="B79" s="6"/>
      <c r="C79" s="6"/>
      <c r="D79" s="6"/>
      <c r="E79" s="6"/>
      <c r="F79" s="6"/>
      <c r="G79" s="6"/>
      <c r="I79" s="6"/>
      <c r="J79" s="6"/>
      <c r="K79" s="6"/>
      <c r="L79" s="6"/>
      <c r="M79" s="6"/>
      <c r="N79" s="6"/>
      <c r="O79" s="6"/>
      <c r="P79" s="6"/>
      <c r="Q79" s="6"/>
    </row>
    <row r="80" spans="1:17" x14ac:dyDescent="0.2">
      <c r="A80" s="6"/>
      <c r="B80" s="6"/>
      <c r="C80" s="6"/>
      <c r="D80" s="6"/>
      <c r="E80" s="6"/>
      <c r="F80" s="6"/>
      <c r="G80" s="6"/>
      <c r="I80" s="6"/>
      <c r="J80" s="6"/>
      <c r="K80" s="6"/>
      <c r="L80" s="6"/>
      <c r="M80" s="6"/>
      <c r="N80" s="6"/>
      <c r="O80" s="6"/>
      <c r="P80" s="6"/>
      <c r="Q80" s="6"/>
    </row>
    <row r="81" spans="1:17" x14ac:dyDescent="0.2">
      <c r="A81" s="6"/>
      <c r="B81" s="6"/>
      <c r="C81" s="6"/>
      <c r="D81" s="6"/>
      <c r="E81" s="6"/>
      <c r="F81" s="6"/>
      <c r="G81" s="6"/>
      <c r="I81" s="6"/>
      <c r="J81" s="6"/>
      <c r="K81" s="6"/>
      <c r="L81" s="6"/>
      <c r="M81" s="6"/>
      <c r="N81" s="6"/>
      <c r="O81" s="6"/>
      <c r="P81" s="6"/>
      <c r="Q81" s="6"/>
    </row>
    <row r="82" spans="1:17" x14ac:dyDescent="0.2">
      <c r="A82" s="6"/>
      <c r="B82" s="6"/>
      <c r="C82" s="6"/>
      <c r="D82" s="6"/>
      <c r="E82" s="6"/>
      <c r="F82" s="6"/>
      <c r="G82" s="6"/>
      <c r="I82" s="6"/>
      <c r="J82" s="6"/>
      <c r="K82" s="6"/>
      <c r="L82" s="6"/>
      <c r="M82" s="6"/>
      <c r="N82" s="6"/>
      <c r="O82" s="6"/>
      <c r="P82" s="6"/>
      <c r="Q82" s="6"/>
    </row>
    <row r="83" spans="1:17" x14ac:dyDescent="0.2">
      <c r="A83" s="6"/>
      <c r="B83" s="6"/>
      <c r="C83" s="6"/>
      <c r="D83" s="6"/>
      <c r="E83" s="6"/>
      <c r="F83" s="6"/>
      <c r="G83" s="6"/>
      <c r="I83" s="6"/>
      <c r="J83" s="6"/>
      <c r="K83" s="6"/>
      <c r="L83" s="6"/>
      <c r="M83" s="6"/>
      <c r="N83" s="6"/>
      <c r="O83" s="6"/>
      <c r="P83" s="6"/>
      <c r="Q83" s="6"/>
    </row>
    <row r="84" spans="1:17" x14ac:dyDescent="0.2">
      <c r="A84" s="6"/>
      <c r="B84" s="6"/>
      <c r="C84" s="6"/>
      <c r="D84" s="6"/>
      <c r="E84" s="6"/>
      <c r="F84" s="6"/>
      <c r="G84" s="6"/>
      <c r="I84" s="6"/>
      <c r="J84" s="6"/>
      <c r="K84" s="6"/>
      <c r="L84" s="6"/>
      <c r="M84" s="6"/>
      <c r="N84" s="6"/>
      <c r="O84" s="6"/>
      <c r="P84" s="6"/>
      <c r="Q84" s="6"/>
    </row>
    <row r="85" spans="1:17" x14ac:dyDescent="0.2">
      <c r="A85" s="6"/>
      <c r="B85" s="6"/>
      <c r="C85" s="6"/>
      <c r="D85" s="6"/>
      <c r="E85" s="6"/>
      <c r="F85" s="6"/>
      <c r="G85" s="6"/>
      <c r="I85" s="6"/>
      <c r="J85" s="6"/>
      <c r="K85" s="6"/>
      <c r="L85" s="6"/>
      <c r="M85" s="6"/>
      <c r="N85" s="6"/>
      <c r="O85" s="6"/>
      <c r="P85" s="6"/>
      <c r="Q85" s="6"/>
    </row>
    <row r="86" spans="1:17" x14ac:dyDescent="0.2">
      <c r="A86" s="6"/>
      <c r="B86" s="6"/>
      <c r="C86" s="6"/>
      <c r="D86" s="6"/>
      <c r="E86" s="6"/>
      <c r="F86" s="6"/>
      <c r="G86" s="6"/>
      <c r="I86" s="6"/>
      <c r="J86" s="6"/>
      <c r="K86" s="6"/>
      <c r="L86" s="6"/>
      <c r="M86" s="6"/>
      <c r="N86" s="6"/>
      <c r="O86" s="6"/>
      <c r="P86" s="6"/>
      <c r="Q86" s="6"/>
    </row>
    <row r="87" spans="1:17" x14ac:dyDescent="0.2">
      <c r="A87" s="6"/>
      <c r="B87" s="6"/>
      <c r="C87" s="6"/>
      <c r="D87" s="6"/>
      <c r="E87" s="6"/>
      <c r="F87" s="6"/>
      <c r="G87" s="6"/>
      <c r="I87" s="6"/>
      <c r="J87" s="6"/>
      <c r="K87" s="6"/>
      <c r="L87" s="6"/>
      <c r="M87" s="6"/>
      <c r="N87" s="6"/>
      <c r="O87" s="6"/>
      <c r="P87" s="6"/>
      <c r="Q87" s="6"/>
    </row>
    <row r="88" spans="1:17" x14ac:dyDescent="0.2">
      <c r="A88" s="6"/>
      <c r="B88" s="6"/>
      <c r="C88" s="6"/>
      <c r="D88" s="6"/>
      <c r="E88" s="6"/>
      <c r="F88" s="6"/>
      <c r="G88" s="6"/>
      <c r="I88" s="6"/>
      <c r="J88" s="6"/>
      <c r="K88" s="6"/>
      <c r="L88" s="6"/>
      <c r="M88" s="6"/>
      <c r="N88" s="6"/>
      <c r="O88" s="6"/>
      <c r="P88" s="6"/>
      <c r="Q88" s="6"/>
    </row>
    <row r="89" spans="1:17" x14ac:dyDescent="0.2">
      <c r="A89" s="6"/>
      <c r="B89" s="6"/>
      <c r="C89" s="6"/>
      <c r="D89" s="6"/>
      <c r="E89" s="6"/>
      <c r="F89" s="6"/>
      <c r="G89" s="6"/>
      <c r="I89" s="6"/>
      <c r="J89" s="6"/>
      <c r="K89" s="6"/>
      <c r="L89" s="6"/>
      <c r="M89" s="6"/>
      <c r="N89" s="6"/>
      <c r="O89" s="6"/>
      <c r="P89" s="6"/>
      <c r="Q89" s="6"/>
    </row>
    <row r="90" spans="1:17" x14ac:dyDescent="0.2">
      <c r="A90" s="6"/>
      <c r="B90" s="6"/>
      <c r="C90" s="6"/>
      <c r="D90" s="6"/>
      <c r="E90" s="6"/>
      <c r="F90" s="6"/>
      <c r="G90" s="6"/>
      <c r="I90" s="6"/>
      <c r="J90" s="6"/>
      <c r="K90" s="6"/>
      <c r="L90" s="6"/>
      <c r="M90" s="6"/>
      <c r="N90" s="6"/>
      <c r="O90" s="6"/>
      <c r="P90" s="6"/>
      <c r="Q90" s="6"/>
    </row>
    <row r="91" spans="1:17" x14ac:dyDescent="0.2">
      <c r="A91" s="6"/>
      <c r="B91" s="6"/>
      <c r="C91" s="6"/>
      <c r="D91" s="6"/>
      <c r="E91" s="6"/>
      <c r="F91" s="6"/>
      <c r="G91" s="6"/>
      <c r="I91" s="6"/>
      <c r="J91" s="6"/>
      <c r="K91" s="6"/>
      <c r="L91" s="6"/>
      <c r="M91" s="6"/>
      <c r="N91" s="6"/>
      <c r="O91" s="6"/>
      <c r="P91" s="6"/>
      <c r="Q91" s="6"/>
    </row>
    <row r="95" spans="1:17" x14ac:dyDescent="0.2">
      <c r="A95" s="6"/>
      <c r="B95" s="6"/>
      <c r="C95" s="6"/>
      <c r="D95" s="6"/>
      <c r="E95" s="6"/>
      <c r="F95" s="6"/>
      <c r="G95" s="6"/>
      <c r="I95" s="6"/>
      <c r="J95" s="6"/>
      <c r="K95" s="6"/>
      <c r="L95" s="6"/>
      <c r="M95" s="6"/>
      <c r="N95" s="6"/>
      <c r="O95" s="6"/>
      <c r="P95" s="6"/>
      <c r="Q95" s="6"/>
    </row>
    <row r="96" spans="1:17" x14ac:dyDescent="0.2">
      <c r="A96" s="6"/>
      <c r="B96" s="6"/>
      <c r="C96" s="6"/>
      <c r="D96" s="6"/>
      <c r="E96" s="6"/>
      <c r="F96" s="6"/>
      <c r="G96" s="6"/>
      <c r="I96" s="6"/>
      <c r="J96" s="6"/>
      <c r="K96" s="6"/>
      <c r="L96" s="6"/>
      <c r="M96" s="6"/>
      <c r="N96" s="6"/>
      <c r="O96" s="6"/>
      <c r="P96" s="6"/>
      <c r="Q96" s="6"/>
    </row>
    <row r="97" spans="1:17" x14ac:dyDescent="0.2">
      <c r="A97" s="6"/>
      <c r="B97" s="6"/>
      <c r="C97" s="6"/>
      <c r="D97" s="6"/>
      <c r="E97" s="6"/>
      <c r="F97" s="6"/>
      <c r="G97" s="6"/>
      <c r="I97" s="6"/>
      <c r="J97" s="6"/>
      <c r="K97" s="6"/>
      <c r="L97" s="6"/>
      <c r="M97" s="6"/>
      <c r="N97" s="6"/>
      <c r="O97" s="6"/>
      <c r="P97" s="6"/>
      <c r="Q97" s="6"/>
    </row>
    <row r="98" spans="1:17" x14ac:dyDescent="0.2">
      <c r="A98" s="6"/>
      <c r="B98" s="6"/>
      <c r="C98" s="6"/>
      <c r="D98" s="6"/>
      <c r="E98" s="6"/>
      <c r="F98" s="6"/>
      <c r="G98" s="6"/>
      <c r="I98" s="6"/>
      <c r="J98" s="6"/>
      <c r="K98" s="6"/>
      <c r="L98" s="6"/>
      <c r="M98" s="6"/>
      <c r="N98" s="6"/>
      <c r="O98" s="6"/>
      <c r="P98" s="6"/>
      <c r="Q98" s="6"/>
    </row>
    <row r="99" spans="1:17" x14ac:dyDescent="0.2">
      <c r="A99" s="6"/>
      <c r="B99" s="6"/>
      <c r="C99" s="6"/>
      <c r="D99" s="6"/>
      <c r="E99" s="6"/>
      <c r="F99" s="6"/>
      <c r="G99" s="6"/>
      <c r="I99" s="6"/>
      <c r="J99" s="6"/>
      <c r="K99" s="6"/>
      <c r="L99" s="6"/>
      <c r="M99" s="6"/>
      <c r="N99" s="6"/>
      <c r="O99" s="6"/>
      <c r="P99" s="6"/>
      <c r="Q99" s="6"/>
    </row>
    <row r="100" spans="1:17" x14ac:dyDescent="0.2">
      <c r="A100" s="6"/>
      <c r="B100" s="6"/>
      <c r="C100" s="6"/>
      <c r="D100" s="6"/>
      <c r="E100" s="6"/>
      <c r="F100" s="6"/>
      <c r="G100" s="6"/>
      <c r="I100" s="6"/>
      <c r="J100" s="6"/>
      <c r="K100" s="6"/>
      <c r="L100" s="6"/>
      <c r="M100" s="6"/>
      <c r="N100" s="6"/>
      <c r="O100" s="6"/>
      <c r="P100" s="6"/>
      <c r="Q100" s="6"/>
    </row>
    <row r="101" spans="1:17" x14ac:dyDescent="0.2">
      <c r="A101" s="6"/>
      <c r="B101" s="6"/>
      <c r="C101" s="6"/>
      <c r="D101" s="6"/>
      <c r="E101" s="6"/>
      <c r="F101" s="6"/>
      <c r="G101" s="6"/>
      <c r="I101" s="6"/>
      <c r="J101" s="6"/>
      <c r="K101" s="6"/>
      <c r="L101" s="6"/>
      <c r="M101" s="6"/>
      <c r="N101" s="6"/>
      <c r="O101" s="6"/>
      <c r="P101" s="6"/>
      <c r="Q101" s="6"/>
    </row>
    <row r="102" spans="1:17" x14ac:dyDescent="0.2">
      <c r="A102" s="6"/>
      <c r="B102" s="6"/>
      <c r="C102" s="6"/>
      <c r="D102" s="6"/>
      <c r="E102" s="6"/>
      <c r="F102" s="6"/>
      <c r="G102" s="6"/>
      <c r="I102" s="6"/>
      <c r="J102" s="6"/>
      <c r="K102" s="6"/>
      <c r="L102" s="6"/>
      <c r="M102" s="6"/>
      <c r="N102" s="6"/>
      <c r="O102" s="6"/>
      <c r="P102" s="6"/>
      <c r="Q102" s="6"/>
    </row>
    <row r="103" spans="1:17" x14ac:dyDescent="0.2">
      <c r="A103" s="6"/>
      <c r="B103" s="6"/>
      <c r="C103" s="6"/>
      <c r="D103" s="6"/>
      <c r="E103" s="6"/>
      <c r="F103" s="6"/>
      <c r="G103" s="6"/>
      <c r="I103" s="6"/>
      <c r="J103" s="6"/>
      <c r="K103" s="6"/>
      <c r="L103" s="6"/>
      <c r="M103" s="6"/>
      <c r="N103" s="6"/>
      <c r="O103" s="6"/>
      <c r="P103" s="6"/>
      <c r="Q103" s="6"/>
    </row>
    <row r="104" spans="1:17" x14ac:dyDescent="0.2">
      <c r="A104" s="6"/>
      <c r="B104" s="6"/>
      <c r="C104" s="6"/>
      <c r="D104" s="6"/>
      <c r="E104" s="6"/>
      <c r="F104" s="6"/>
      <c r="G104" s="6"/>
      <c r="I104" s="6"/>
      <c r="J104" s="6"/>
      <c r="K104" s="6"/>
      <c r="L104" s="6"/>
      <c r="M104" s="6"/>
      <c r="N104" s="6"/>
      <c r="O104" s="6"/>
      <c r="P104" s="6"/>
      <c r="Q104" s="6"/>
    </row>
    <row r="105" spans="1:17" x14ac:dyDescent="0.2">
      <c r="A105" s="6"/>
      <c r="B105" s="6"/>
      <c r="C105" s="6"/>
      <c r="D105" s="6"/>
      <c r="E105" s="6"/>
      <c r="F105" s="6"/>
      <c r="G105" s="6"/>
      <c r="I105" s="6"/>
      <c r="J105" s="6"/>
      <c r="K105" s="6"/>
      <c r="L105" s="6"/>
      <c r="M105" s="6"/>
      <c r="N105" s="6"/>
      <c r="O105" s="6"/>
      <c r="P105" s="6"/>
      <c r="Q105" s="6"/>
    </row>
    <row r="106" spans="1:17" x14ac:dyDescent="0.2">
      <c r="A106" s="6"/>
      <c r="B106" s="6"/>
      <c r="C106" s="6"/>
      <c r="D106" s="6"/>
      <c r="E106" s="6"/>
      <c r="F106" s="6"/>
      <c r="G106" s="6"/>
      <c r="I106" s="6"/>
      <c r="J106" s="6"/>
      <c r="K106" s="6"/>
      <c r="L106" s="6"/>
      <c r="M106" s="6"/>
      <c r="N106" s="6"/>
      <c r="O106" s="6"/>
      <c r="P106" s="6"/>
      <c r="Q106" s="6"/>
    </row>
    <row r="107" spans="1:17" x14ac:dyDescent="0.2">
      <c r="A107" s="6"/>
      <c r="B107" s="6"/>
      <c r="C107" s="6"/>
      <c r="D107" s="6"/>
      <c r="E107" s="6"/>
      <c r="F107" s="6"/>
      <c r="G107" s="6"/>
      <c r="I107" s="6"/>
      <c r="J107" s="6"/>
      <c r="K107" s="6"/>
      <c r="L107" s="6"/>
      <c r="M107" s="6"/>
      <c r="N107" s="6"/>
      <c r="O107" s="6"/>
      <c r="P107" s="6"/>
      <c r="Q107" s="6"/>
    </row>
    <row r="108" spans="1:17" x14ac:dyDescent="0.2">
      <c r="A108" s="6"/>
      <c r="B108" s="6"/>
      <c r="C108" s="6"/>
      <c r="D108" s="6"/>
      <c r="E108" s="6"/>
      <c r="F108" s="6"/>
      <c r="G108" s="6"/>
      <c r="I108" s="6"/>
      <c r="J108" s="6"/>
      <c r="K108" s="6"/>
      <c r="L108" s="6"/>
      <c r="M108" s="6"/>
      <c r="N108" s="6"/>
      <c r="O108" s="6"/>
      <c r="P108" s="6"/>
      <c r="Q108" s="6"/>
    </row>
    <row r="109" spans="1:17" x14ac:dyDescent="0.2">
      <c r="A109" s="6"/>
      <c r="B109" s="6"/>
      <c r="C109" s="6"/>
      <c r="D109" s="6"/>
      <c r="E109" s="6"/>
      <c r="F109" s="6"/>
      <c r="G109" s="6"/>
      <c r="I109" s="6"/>
      <c r="J109" s="6"/>
      <c r="K109" s="6"/>
      <c r="L109" s="6"/>
      <c r="M109" s="6"/>
      <c r="N109" s="6"/>
      <c r="O109" s="6"/>
      <c r="P109" s="6"/>
      <c r="Q109" s="6"/>
    </row>
    <row r="110" spans="1:17" x14ac:dyDescent="0.2">
      <c r="A110" s="6"/>
      <c r="B110" s="6"/>
      <c r="C110" s="6"/>
      <c r="D110" s="6"/>
      <c r="E110" s="6"/>
      <c r="F110" s="6"/>
      <c r="G110" s="6"/>
      <c r="I110" s="6"/>
      <c r="J110" s="6"/>
      <c r="K110" s="6"/>
      <c r="L110" s="6"/>
      <c r="M110" s="6"/>
      <c r="N110" s="6"/>
      <c r="O110" s="6"/>
      <c r="P110" s="6"/>
      <c r="Q110" s="6"/>
    </row>
    <row r="111" spans="1:17" x14ac:dyDescent="0.2">
      <c r="A111" s="6"/>
      <c r="B111" s="6"/>
      <c r="C111" s="6"/>
      <c r="D111" s="6"/>
      <c r="E111" s="6"/>
      <c r="F111" s="6"/>
      <c r="G111" s="6"/>
      <c r="I111" s="6"/>
      <c r="J111" s="6"/>
      <c r="K111" s="6"/>
      <c r="L111" s="6"/>
      <c r="M111" s="6"/>
      <c r="N111" s="6"/>
      <c r="O111" s="6"/>
      <c r="P111" s="6"/>
      <c r="Q111" s="6"/>
    </row>
    <row r="112" spans="1:17" x14ac:dyDescent="0.2">
      <c r="A112" s="6"/>
      <c r="B112" s="6"/>
      <c r="C112" s="6"/>
      <c r="D112" s="6"/>
      <c r="E112" s="6"/>
      <c r="F112" s="6"/>
      <c r="G112" s="6"/>
      <c r="I112" s="6"/>
      <c r="J112" s="6"/>
      <c r="K112" s="6"/>
      <c r="L112" s="6"/>
      <c r="M112" s="6"/>
      <c r="N112" s="6"/>
      <c r="O112" s="6"/>
      <c r="P112" s="6"/>
      <c r="Q112" s="6"/>
    </row>
    <row r="113" spans="1:17" x14ac:dyDescent="0.2">
      <c r="A113" s="6"/>
      <c r="B113" s="6"/>
      <c r="C113" s="6"/>
      <c r="D113" s="6"/>
      <c r="E113" s="6"/>
      <c r="F113" s="6"/>
      <c r="G113" s="6"/>
      <c r="I113" s="6"/>
      <c r="J113" s="6"/>
      <c r="K113" s="6"/>
      <c r="L113" s="6"/>
      <c r="M113" s="6"/>
      <c r="N113" s="6"/>
      <c r="O113" s="6"/>
      <c r="P113" s="6"/>
      <c r="Q113" s="6"/>
    </row>
    <row r="114" spans="1:17" x14ac:dyDescent="0.2">
      <c r="A114" s="6"/>
      <c r="B114" s="6"/>
      <c r="C114" s="6"/>
      <c r="D114" s="6"/>
      <c r="E114" s="6"/>
      <c r="F114" s="6"/>
      <c r="G114" s="6"/>
      <c r="I114" s="6"/>
      <c r="J114" s="6"/>
      <c r="K114" s="6"/>
      <c r="L114" s="6"/>
      <c r="M114" s="6"/>
      <c r="N114" s="6"/>
      <c r="O114" s="6"/>
      <c r="P114" s="6"/>
      <c r="Q114" s="6"/>
    </row>
    <row r="115" spans="1:17" x14ac:dyDescent="0.2">
      <c r="A115" s="6"/>
      <c r="B115" s="6"/>
      <c r="C115" s="6"/>
      <c r="D115" s="6"/>
      <c r="E115" s="6"/>
      <c r="F115" s="6"/>
      <c r="G115" s="6"/>
      <c r="I115" s="6"/>
      <c r="J115" s="6"/>
      <c r="K115" s="6"/>
      <c r="L115" s="6"/>
      <c r="M115" s="6"/>
      <c r="N115" s="6"/>
      <c r="O115" s="6"/>
      <c r="P115" s="6"/>
      <c r="Q115" s="6"/>
    </row>
    <row r="116" spans="1:17" x14ac:dyDescent="0.2">
      <c r="A116" s="6"/>
      <c r="B116" s="6"/>
      <c r="C116" s="6"/>
      <c r="D116" s="6"/>
      <c r="E116" s="6"/>
      <c r="F116" s="6"/>
      <c r="G116" s="6"/>
      <c r="I116" s="6"/>
      <c r="J116" s="6"/>
      <c r="K116" s="6"/>
      <c r="L116" s="6"/>
      <c r="M116" s="6"/>
      <c r="N116" s="6"/>
      <c r="O116" s="6"/>
      <c r="P116" s="6"/>
      <c r="Q116" s="6"/>
    </row>
    <row r="117" spans="1:17" x14ac:dyDescent="0.2">
      <c r="A117" s="6"/>
      <c r="B117" s="6"/>
      <c r="C117" s="6"/>
      <c r="D117" s="6"/>
      <c r="E117" s="6"/>
      <c r="F117" s="6"/>
      <c r="G117" s="6"/>
      <c r="I117" s="6"/>
      <c r="J117" s="6"/>
      <c r="K117" s="6"/>
      <c r="L117" s="6"/>
      <c r="M117" s="6"/>
      <c r="N117" s="6"/>
      <c r="O117" s="6"/>
      <c r="P117" s="6"/>
      <c r="Q117" s="6"/>
    </row>
    <row r="118" spans="1:17" x14ac:dyDescent="0.2">
      <c r="A118" s="6"/>
      <c r="B118" s="6"/>
      <c r="C118" s="6"/>
      <c r="D118" s="6"/>
      <c r="E118" s="6"/>
      <c r="F118" s="6"/>
      <c r="G118" s="6"/>
      <c r="I118" s="6"/>
      <c r="J118" s="6"/>
      <c r="K118" s="6"/>
      <c r="L118" s="6"/>
      <c r="M118" s="6"/>
      <c r="N118" s="6"/>
      <c r="O118" s="6"/>
      <c r="P118" s="6"/>
      <c r="Q118" s="6"/>
    </row>
    <row r="119" spans="1:17" x14ac:dyDescent="0.2">
      <c r="A119" s="6"/>
      <c r="B119" s="6"/>
      <c r="C119" s="6"/>
      <c r="D119" s="6"/>
      <c r="E119" s="6"/>
      <c r="F119" s="6"/>
      <c r="G119" s="6"/>
      <c r="I119" s="6"/>
      <c r="J119" s="6"/>
      <c r="K119" s="6"/>
      <c r="L119" s="6"/>
      <c r="M119" s="6"/>
      <c r="N119" s="6"/>
      <c r="O119" s="6"/>
      <c r="P119" s="6"/>
      <c r="Q119" s="6"/>
    </row>
    <row r="120" spans="1:17" x14ac:dyDescent="0.2">
      <c r="A120" s="6"/>
      <c r="B120" s="6"/>
      <c r="C120" s="6"/>
      <c r="D120" s="6"/>
      <c r="E120" s="6"/>
      <c r="F120" s="6"/>
      <c r="G120" s="6"/>
      <c r="I120" s="6"/>
      <c r="J120" s="6"/>
      <c r="K120" s="6"/>
      <c r="L120" s="6"/>
      <c r="M120" s="6"/>
      <c r="N120" s="6"/>
      <c r="O120" s="6"/>
      <c r="P120" s="6"/>
      <c r="Q120" s="6"/>
    </row>
    <row r="121" spans="1:17" x14ac:dyDescent="0.2">
      <c r="A121" s="6"/>
      <c r="B121" s="6"/>
      <c r="C121" s="6"/>
      <c r="D121" s="6"/>
      <c r="E121" s="6"/>
      <c r="F121" s="6"/>
      <c r="G121" s="6"/>
      <c r="I121" s="6"/>
      <c r="J121" s="6"/>
      <c r="K121" s="6"/>
      <c r="L121" s="6"/>
      <c r="M121" s="6"/>
      <c r="N121" s="6"/>
      <c r="O121" s="6"/>
      <c r="P121" s="6"/>
      <c r="Q121" s="6"/>
    </row>
    <row r="122" spans="1:17" x14ac:dyDescent="0.2">
      <c r="A122" s="6"/>
      <c r="B122" s="6"/>
      <c r="C122" s="6"/>
      <c r="D122" s="6"/>
      <c r="E122" s="6"/>
      <c r="F122" s="6"/>
      <c r="G122" s="6"/>
      <c r="I122" s="6"/>
      <c r="J122" s="6"/>
      <c r="K122" s="6"/>
      <c r="L122" s="6"/>
      <c r="M122" s="6"/>
      <c r="N122" s="6"/>
      <c r="O122" s="6"/>
      <c r="P122" s="6"/>
      <c r="Q122" s="6"/>
    </row>
    <row r="123" spans="1:17" x14ac:dyDescent="0.2">
      <c r="A123" s="6"/>
      <c r="B123" s="6"/>
      <c r="C123" s="6"/>
      <c r="D123" s="6"/>
      <c r="E123" s="6"/>
      <c r="F123" s="6"/>
      <c r="G123" s="6"/>
      <c r="I123" s="6"/>
      <c r="J123" s="6"/>
      <c r="K123" s="6"/>
      <c r="L123" s="6"/>
      <c r="M123" s="6"/>
      <c r="N123" s="6"/>
      <c r="O123" s="6"/>
      <c r="P123" s="6"/>
      <c r="Q123" s="6"/>
    </row>
    <row r="124" spans="1:17" x14ac:dyDescent="0.2">
      <c r="A124" s="6"/>
      <c r="B124" s="6"/>
      <c r="C124" s="6"/>
      <c r="D124" s="6"/>
      <c r="E124" s="6"/>
      <c r="F124" s="6"/>
      <c r="G124" s="6"/>
      <c r="I124" s="6"/>
      <c r="J124" s="6"/>
      <c r="K124" s="6"/>
      <c r="L124" s="6"/>
      <c r="M124" s="6"/>
      <c r="N124" s="6"/>
      <c r="O124" s="6"/>
      <c r="P124" s="6"/>
      <c r="Q124" s="6"/>
    </row>
    <row r="125" spans="1:17" x14ac:dyDescent="0.2">
      <c r="A125" s="6"/>
      <c r="B125" s="6"/>
      <c r="C125" s="6"/>
      <c r="D125" s="6"/>
      <c r="E125" s="6"/>
      <c r="F125" s="6"/>
      <c r="G125" s="6"/>
      <c r="I125" s="6"/>
      <c r="J125" s="6"/>
      <c r="K125" s="6"/>
      <c r="L125" s="6"/>
      <c r="M125" s="6"/>
      <c r="N125" s="6"/>
      <c r="O125" s="6"/>
      <c r="P125" s="6"/>
      <c r="Q125" s="6"/>
    </row>
    <row r="126" spans="1:17" x14ac:dyDescent="0.2">
      <c r="A126" s="6"/>
      <c r="B126" s="6"/>
      <c r="C126" s="6"/>
      <c r="D126" s="6"/>
      <c r="E126" s="6"/>
      <c r="F126" s="6"/>
      <c r="G126" s="6"/>
      <c r="I126" s="6"/>
      <c r="J126" s="6"/>
      <c r="K126" s="6"/>
      <c r="L126" s="6"/>
      <c r="M126" s="6"/>
      <c r="N126" s="6"/>
      <c r="O126" s="6"/>
      <c r="P126" s="6"/>
      <c r="Q126" s="6"/>
    </row>
    <row r="127" spans="1:17" x14ac:dyDescent="0.2">
      <c r="A127" s="6"/>
      <c r="B127" s="6"/>
      <c r="C127" s="6"/>
      <c r="D127" s="6"/>
      <c r="E127" s="6"/>
      <c r="F127" s="6"/>
      <c r="G127" s="6"/>
      <c r="I127" s="6"/>
      <c r="J127" s="6"/>
      <c r="K127" s="6"/>
      <c r="L127" s="6"/>
      <c r="M127" s="6"/>
      <c r="N127" s="6"/>
      <c r="O127" s="6"/>
      <c r="P127" s="6"/>
      <c r="Q127" s="6"/>
    </row>
    <row r="128" spans="1:17" x14ac:dyDescent="0.2">
      <c r="A128" s="6"/>
      <c r="B128" s="6"/>
      <c r="C128" s="6"/>
      <c r="D128" s="6"/>
      <c r="E128" s="6"/>
      <c r="F128" s="6"/>
      <c r="G128" s="6"/>
      <c r="I128" s="6"/>
      <c r="J128" s="6"/>
      <c r="K128" s="6"/>
      <c r="L128" s="6"/>
      <c r="M128" s="6"/>
      <c r="N128" s="6"/>
      <c r="O128" s="6"/>
      <c r="P128" s="6"/>
      <c r="Q128" s="6"/>
    </row>
    <row r="129" spans="1:17" x14ac:dyDescent="0.2">
      <c r="A129" s="6"/>
      <c r="B129" s="6"/>
      <c r="C129" s="6"/>
      <c r="D129" s="6"/>
      <c r="E129" s="6"/>
      <c r="F129" s="6"/>
      <c r="G129" s="6"/>
      <c r="I129" s="6"/>
      <c r="J129" s="6"/>
      <c r="K129" s="6"/>
      <c r="L129" s="6"/>
      <c r="M129" s="6"/>
      <c r="N129" s="6"/>
      <c r="O129" s="6"/>
      <c r="P129" s="6"/>
      <c r="Q129" s="6"/>
    </row>
    <row r="130" spans="1:17" x14ac:dyDescent="0.2">
      <c r="A130" s="6"/>
      <c r="B130" s="6"/>
      <c r="C130" s="6"/>
      <c r="D130" s="6"/>
      <c r="E130" s="6"/>
      <c r="F130" s="6"/>
      <c r="G130" s="6"/>
      <c r="I130" s="6"/>
      <c r="J130" s="6"/>
      <c r="K130" s="6"/>
      <c r="L130" s="6"/>
      <c r="M130" s="6"/>
      <c r="N130" s="6"/>
      <c r="O130" s="6"/>
      <c r="P130" s="6"/>
      <c r="Q130" s="6"/>
    </row>
    <row r="131" spans="1:17" x14ac:dyDescent="0.2">
      <c r="A131" s="6"/>
      <c r="B131" s="6"/>
      <c r="C131" s="6"/>
      <c r="D131" s="6"/>
      <c r="E131" s="6"/>
      <c r="F131" s="6"/>
      <c r="G131" s="6"/>
      <c r="I131" s="6"/>
      <c r="J131" s="6"/>
      <c r="K131" s="6"/>
      <c r="L131" s="6"/>
      <c r="M131" s="6"/>
      <c r="N131" s="6"/>
      <c r="O131" s="6"/>
      <c r="P131" s="6"/>
      <c r="Q131" s="6"/>
    </row>
    <row r="132" spans="1:17" x14ac:dyDescent="0.2">
      <c r="A132" s="6"/>
      <c r="B132" s="6"/>
      <c r="C132" s="6"/>
      <c r="D132" s="6"/>
      <c r="E132" s="6"/>
      <c r="F132" s="6"/>
      <c r="G132" s="6"/>
      <c r="I132" s="6"/>
      <c r="J132" s="6"/>
      <c r="K132" s="6"/>
      <c r="L132" s="6"/>
      <c r="M132" s="6"/>
      <c r="N132" s="6"/>
      <c r="O132" s="6"/>
      <c r="P132" s="6"/>
      <c r="Q132" s="6"/>
    </row>
  </sheetData>
  <mergeCells count="4">
    <mergeCell ref="A55:G57"/>
    <mergeCell ref="B3:D3"/>
    <mergeCell ref="B5:D5"/>
    <mergeCell ref="A47:G53"/>
  </mergeCells>
  <phoneticPr fontId="68" type="noConversion"/>
  <pageMargins left="0.7" right="0.7" top="0.75" bottom="0.75" header="0.3" footer="0.3"/>
  <pageSetup scale="85" orientation="portrait" r:id="rId1"/>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4"/>
  <sheetViews>
    <sheetView zoomScaleNormal="100" zoomScaleSheetLayoutView="100" workbookViewId="0"/>
  </sheetViews>
  <sheetFormatPr defaultRowHeight="12.75" customHeight="1" x14ac:dyDescent="0.2"/>
  <cols>
    <col min="1" max="1" width="14.140625" style="219" customWidth="1"/>
    <col min="2" max="7" width="12.7109375" style="220" customWidth="1"/>
    <col min="8" max="8" width="9.140625" style="206"/>
    <col min="9" max="256" width="9.140625" style="207"/>
    <col min="257" max="257" width="14.140625" style="207" customWidth="1"/>
    <col min="258" max="263" width="12.7109375" style="207" customWidth="1"/>
    <col min="264" max="512" width="9.140625" style="207"/>
    <col min="513" max="513" width="14.140625" style="207" customWidth="1"/>
    <col min="514" max="519" width="12.7109375" style="207" customWidth="1"/>
    <col min="520" max="768" width="9.140625" style="207"/>
    <col min="769" max="769" width="14.140625" style="207" customWidth="1"/>
    <col min="770" max="775" width="12.7109375" style="207" customWidth="1"/>
    <col min="776" max="1024" width="9.140625" style="207"/>
    <col min="1025" max="1025" width="14.140625" style="207" customWidth="1"/>
    <col min="1026" max="1031" width="12.7109375" style="207" customWidth="1"/>
    <col min="1032" max="1280" width="9.140625" style="207"/>
    <col min="1281" max="1281" width="14.140625" style="207" customWidth="1"/>
    <col min="1282" max="1287" width="12.7109375" style="207" customWidth="1"/>
    <col min="1288" max="1536" width="9.140625" style="207"/>
    <col min="1537" max="1537" width="14.140625" style="207" customWidth="1"/>
    <col min="1538" max="1543" width="12.7109375" style="207" customWidth="1"/>
    <col min="1544" max="1792" width="9.140625" style="207"/>
    <col min="1793" max="1793" width="14.140625" style="207" customWidth="1"/>
    <col min="1794" max="1799" width="12.7109375" style="207" customWidth="1"/>
    <col min="1800" max="2048" width="9.140625" style="207"/>
    <col min="2049" max="2049" width="14.140625" style="207" customWidth="1"/>
    <col min="2050" max="2055" width="12.7109375" style="207" customWidth="1"/>
    <col min="2056" max="2304" width="9.140625" style="207"/>
    <col min="2305" max="2305" width="14.140625" style="207" customWidth="1"/>
    <col min="2306" max="2311" width="12.7109375" style="207" customWidth="1"/>
    <col min="2312" max="2560" width="9.140625" style="207"/>
    <col min="2561" max="2561" width="14.140625" style="207" customWidth="1"/>
    <col min="2562" max="2567" width="12.7109375" style="207" customWidth="1"/>
    <col min="2568" max="2816" width="9.140625" style="207"/>
    <col min="2817" max="2817" width="14.140625" style="207" customWidth="1"/>
    <col min="2818" max="2823" width="12.7109375" style="207" customWidth="1"/>
    <col min="2824" max="3072" width="9.140625" style="207"/>
    <col min="3073" max="3073" width="14.140625" style="207" customWidth="1"/>
    <col min="3074" max="3079" width="12.7109375" style="207" customWidth="1"/>
    <col min="3080" max="3328" width="9.140625" style="207"/>
    <col min="3329" max="3329" width="14.140625" style="207" customWidth="1"/>
    <col min="3330" max="3335" width="12.7109375" style="207" customWidth="1"/>
    <col min="3336" max="3584" width="9.140625" style="207"/>
    <col min="3585" max="3585" width="14.140625" style="207" customWidth="1"/>
    <col min="3586" max="3591" width="12.7109375" style="207" customWidth="1"/>
    <col min="3592" max="3840" width="9.140625" style="207"/>
    <col min="3841" max="3841" width="14.140625" style="207" customWidth="1"/>
    <col min="3842" max="3847" width="12.7109375" style="207" customWidth="1"/>
    <col min="3848" max="4096" width="9.140625" style="207"/>
    <col min="4097" max="4097" width="14.140625" style="207" customWidth="1"/>
    <col min="4098" max="4103" width="12.7109375" style="207" customWidth="1"/>
    <col min="4104" max="4352" width="9.140625" style="207"/>
    <col min="4353" max="4353" width="14.140625" style="207" customWidth="1"/>
    <col min="4354" max="4359" width="12.7109375" style="207" customWidth="1"/>
    <col min="4360" max="4608" width="9.140625" style="207"/>
    <col min="4609" max="4609" width="14.140625" style="207" customWidth="1"/>
    <col min="4610" max="4615" width="12.7109375" style="207" customWidth="1"/>
    <col min="4616" max="4864" width="9.140625" style="207"/>
    <col min="4865" max="4865" width="14.140625" style="207" customWidth="1"/>
    <col min="4866" max="4871" width="12.7109375" style="207" customWidth="1"/>
    <col min="4872" max="5120" width="9.140625" style="207"/>
    <col min="5121" max="5121" width="14.140625" style="207" customWidth="1"/>
    <col min="5122" max="5127" width="12.7109375" style="207" customWidth="1"/>
    <col min="5128" max="5376" width="9.140625" style="207"/>
    <col min="5377" max="5377" width="14.140625" style="207" customWidth="1"/>
    <col min="5378" max="5383" width="12.7109375" style="207" customWidth="1"/>
    <col min="5384" max="5632" width="9.140625" style="207"/>
    <col min="5633" max="5633" width="14.140625" style="207" customWidth="1"/>
    <col min="5634" max="5639" width="12.7109375" style="207" customWidth="1"/>
    <col min="5640" max="5888" width="9.140625" style="207"/>
    <col min="5889" max="5889" width="14.140625" style="207" customWidth="1"/>
    <col min="5890" max="5895" width="12.7109375" style="207" customWidth="1"/>
    <col min="5896" max="6144" width="9.140625" style="207"/>
    <col min="6145" max="6145" width="14.140625" style="207" customWidth="1"/>
    <col min="6146" max="6151" width="12.7109375" style="207" customWidth="1"/>
    <col min="6152" max="6400" width="9.140625" style="207"/>
    <col min="6401" max="6401" width="14.140625" style="207" customWidth="1"/>
    <col min="6402" max="6407" width="12.7109375" style="207" customWidth="1"/>
    <col min="6408" max="6656" width="9.140625" style="207"/>
    <col min="6657" max="6657" width="14.140625" style="207" customWidth="1"/>
    <col min="6658" max="6663" width="12.7109375" style="207" customWidth="1"/>
    <col min="6664" max="6912" width="9.140625" style="207"/>
    <col min="6913" max="6913" width="14.140625" style="207" customWidth="1"/>
    <col min="6914" max="6919" width="12.7109375" style="207" customWidth="1"/>
    <col min="6920" max="7168" width="9.140625" style="207"/>
    <col min="7169" max="7169" width="14.140625" style="207" customWidth="1"/>
    <col min="7170" max="7175" width="12.7109375" style="207" customWidth="1"/>
    <col min="7176" max="7424" width="9.140625" style="207"/>
    <col min="7425" max="7425" width="14.140625" style="207" customWidth="1"/>
    <col min="7426" max="7431" width="12.7109375" style="207" customWidth="1"/>
    <col min="7432" max="7680" width="9.140625" style="207"/>
    <col min="7681" max="7681" width="14.140625" style="207" customWidth="1"/>
    <col min="7682" max="7687" width="12.7109375" style="207" customWidth="1"/>
    <col min="7688" max="7936" width="9.140625" style="207"/>
    <col min="7937" max="7937" width="14.140625" style="207" customWidth="1"/>
    <col min="7938" max="7943" width="12.7109375" style="207" customWidth="1"/>
    <col min="7944" max="8192" width="9.140625" style="207"/>
    <col min="8193" max="8193" width="14.140625" style="207" customWidth="1"/>
    <col min="8194" max="8199" width="12.7109375" style="207" customWidth="1"/>
    <col min="8200" max="8448" width="9.140625" style="207"/>
    <col min="8449" max="8449" width="14.140625" style="207" customWidth="1"/>
    <col min="8450" max="8455" width="12.7109375" style="207" customWidth="1"/>
    <col min="8456" max="8704" width="9.140625" style="207"/>
    <col min="8705" max="8705" width="14.140625" style="207" customWidth="1"/>
    <col min="8706" max="8711" width="12.7109375" style="207" customWidth="1"/>
    <col min="8712" max="8960" width="9.140625" style="207"/>
    <col min="8961" max="8961" width="14.140625" style="207" customWidth="1"/>
    <col min="8962" max="8967" width="12.7109375" style="207" customWidth="1"/>
    <col min="8968" max="9216" width="9.140625" style="207"/>
    <col min="9217" max="9217" width="14.140625" style="207" customWidth="1"/>
    <col min="9218" max="9223" width="12.7109375" style="207" customWidth="1"/>
    <col min="9224" max="9472" width="9.140625" style="207"/>
    <col min="9473" max="9473" width="14.140625" style="207" customWidth="1"/>
    <col min="9474" max="9479" width="12.7109375" style="207" customWidth="1"/>
    <col min="9480" max="9728" width="9.140625" style="207"/>
    <col min="9729" max="9729" width="14.140625" style="207" customWidth="1"/>
    <col min="9730" max="9735" width="12.7109375" style="207" customWidth="1"/>
    <col min="9736" max="9984" width="9.140625" style="207"/>
    <col min="9985" max="9985" width="14.140625" style="207" customWidth="1"/>
    <col min="9986" max="9991" width="12.7109375" style="207" customWidth="1"/>
    <col min="9992" max="10240" width="9.140625" style="207"/>
    <col min="10241" max="10241" width="14.140625" style="207" customWidth="1"/>
    <col min="10242" max="10247" width="12.7109375" style="207" customWidth="1"/>
    <col min="10248" max="10496" width="9.140625" style="207"/>
    <col min="10497" max="10497" width="14.140625" style="207" customWidth="1"/>
    <col min="10498" max="10503" width="12.7109375" style="207" customWidth="1"/>
    <col min="10504" max="10752" width="9.140625" style="207"/>
    <col min="10753" max="10753" width="14.140625" style="207" customWidth="1"/>
    <col min="10754" max="10759" width="12.7109375" style="207" customWidth="1"/>
    <col min="10760" max="11008" width="9.140625" style="207"/>
    <col min="11009" max="11009" width="14.140625" style="207" customWidth="1"/>
    <col min="11010" max="11015" width="12.7109375" style="207" customWidth="1"/>
    <col min="11016" max="11264" width="9.140625" style="207"/>
    <col min="11265" max="11265" width="14.140625" style="207" customWidth="1"/>
    <col min="11266" max="11271" width="12.7109375" style="207" customWidth="1"/>
    <col min="11272" max="11520" width="9.140625" style="207"/>
    <col min="11521" max="11521" width="14.140625" style="207" customWidth="1"/>
    <col min="11522" max="11527" width="12.7109375" style="207" customWidth="1"/>
    <col min="11528" max="11776" width="9.140625" style="207"/>
    <col min="11777" max="11777" width="14.140625" style="207" customWidth="1"/>
    <col min="11778" max="11783" width="12.7109375" style="207" customWidth="1"/>
    <col min="11784" max="12032" width="9.140625" style="207"/>
    <col min="12033" max="12033" width="14.140625" style="207" customWidth="1"/>
    <col min="12034" max="12039" width="12.7109375" style="207" customWidth="1"/>
    <col min="12040" max="12288" width="9.140625" style="207"/>
    <col min="12289" max="12289" width="14.140625" style="207" customWidth="1"/>
    <col min="12290" max="12295" width="12.7109375" style="207" customWidth="1"/>
    <col min="12296" max="12544" width="9.140625" style="207"/>
    <col min="12545" max="12545" width="14.140625" style="207" customWidth="1"/>
    <col min="12546" max="12551" width="12.7109375" style="207" customWidth="1"/>
    <col min="12552" max="12800" width="9.140625" style="207"/>
    <col min="12801" max="12801" width="14.140625" style="207" customWidth="1"/>
    <col min="12802" max="12807" width="12.7109375" style="207" customWidth="1"/>
    <col min="12808" max="13056" width="9.140625" style="207"/>
    <col min="13057" max="13057" width="14.140625" style="207" customWidth="1"/>
    <col min="13058" max="13063" width="12.7109375" style="207" customWidth="1"/>
    <col min="13064" max="13312" width="9.140625" style="207"/>
    <col min="13313" max="13313" width="14.140625" style="207" customWidth="1"/>
    <col min="13314" max="13319" width="12.7109375" style="207" customWidth="1"/>
    <col min="13320" max="13568" width="9.140625" style="207"/>
    <col min="13569" max="13569" width="14.140625" style="207" customWidth="1"/>
    <col min="13570" max="13575" width="12.7109375" style="207" customWidth="1"/>
    <col min="13576" max="13824" width="9.140625" style="207"/>
    <col min="13825" max="13825" width="14.140625" style="207" customWidth="1"/>
    <col min="13826" max="13831" width="12.7109375" style="207" customWidth="1"/>
    <col min="13832" max="14080" width="9.140625" style="207"/>
    <col min="14081" max="14081" width="14.140625" style="207" customWidth="1"/>
    <col min="14082" max="14087" width="12.7109375" style="207" customWidth="1"/>
    <col min="14088" max="14336" width="9.140625" style="207"/>
    <col min="14337" max="14337" width="14.140625" style="207" customWidth="1"/>
    <col min="14338" max="14343" width="12.7109375" style="207" customWidth="1"/>
    <col min="14344" max="14592" width="9.140625" style="207"/>
    <col min="14593" max="14593" width="14.140625" style="207" customWidth="1"/>
    <col min="14594" max="14599" width="12.7109375" style="207" customWidth="1"/>
    <col min="14600" max="14848" width="9.140625" style="207"/>
    <col min="14849" max="14849" width="14.140625" style="207" customWidth="1"/>
    <col min="14850" max="14855" width="12.7109375" style="207" customWidth="1"/>
    <col min="14856" max="15104" width="9.140625" style="207"/>
    <col min="15105" max="15105" width="14.140625" style="207" customWidth="1"/>
    <col min="15106" max="15111" width="12.7109375" style="207" customWidth="1"/>
    <col min="15112" max="15360" width="9.140625" style="207"/>
    <col min="15361" max="15361" width="14.140625" style="207" customWidth="1"/>
    <col min="15362" max="15367" width="12.7109375" style="207" customWidth="1"/>
    <col min="15368" max="15616" width="9.140625" style="207"/>
    <col min="15617" max="15617" width="14.140625" style="207" customWidth="1"/>
    <col min="15618" max="15623" width="12.7109375" style="207" customWidth="1"/>
    <col min="15624" max="15872" width="9.140625" style="207"/>
    <col min="15873" max="15873" width="14.140625" style="207" customWidth="1"/>
    <col min="15874" max="15879" width="12.7109375" style="207" customWidth="1"/>
    <col min="15880" max="16128" width="9.140625" style="207"/>
    <col min="16129" max="16129" width="14.140625" style="207" customWidth="1"/>
    <col min="16130" max="16135" width="12.7109375" style="207" customWidth="1"/>
    <col min="16136" max="16384" width="9.140625" style="207"/>
  </cols>
  <sheetData>
    <row r="1" spans="1:15" ht="12.75" customHeight="1" x14ac:dyDescent="0.2">
      <c r="A1" s="204" t="s">
        <v>187</v>
      </c>
      <c r="B1" s="205"/>
      <c r="C1" s="205"/>
      <c r="D1" s="205"/>
      <c r="E1" s="205"/>
      <c r="F1" s="205"/>
      <c r="G1" s="205"/>
    </row>
    <row r="2" spans="1:15" ht="12.75" customHeight="1" x14ac:dyDescent="0.2">
      <c r="A2" s="208" t="s">
        <v>188</v>
      </c>
      <c r="B2" s="208"/>
      <c r="C2" s="208"/>
      <c r="D2" s="208"/>
      <c r="E2" s="208"/>
      <c r="F2" s="208"/>
      <c r="G2" s="208"/>
    </row>
    <row r="3" spans="1:15" ht="12.75" customHeight="1" x14ac:dyDescent="0.2">
      <c r="A3" s="221" t="s">
        <v>189</v>
      </c>
      <c r="B3" s="222" t="s">
        <v>190</v>
      </c>
      <c r="C3" s="222" t="s">
        <v>191</v>
      </c>
      <c r="D3" s="222" t="s">
        <v>198</v>
      </c>
      <c r="E3" s="222" t="s">
        <v>192</v>
      </c>
      <c r="F3" s="222" t="s">
        <v>193</v>
      </c>
      <c r="G3" s="222" t="s">
        <v>194</v>
      </c>
    </row>
    <row r="4" spans="1:15" ht="12.75" customHeight="1" x14ac:dyDescent="0.2">
      <c r="A4" s="209"/>
      <c r="B4" s="289" t="s">
        <v>195</v>
      </c>
      <c r="C4" s="289"/>
      <c r="D4" s="289"/>
      <c r="E4" s="289"/>
      <c r="F4" s="289"/>
      <c r="G4" s="289"/>
    </row>
    <row r="5" spans="1:15" ht="12.75" customHeight="1" x14ac:dyDescent="0.2">
      <c r="A5" s="209"/>
      <c r="B5" s="210"/>
      <c r="C5" s="210"/>
      <c r="D5" s="210"/>
      <c r="E5" s="210"/>
      <c r="F5" s="210"/>
      <c r="G5" s="206"/>
    </row>
    <row r="6" spans="1:15" ht="12.75" customHeight="1" x14ac:dyDescent="0.2">
      <c r="A6" s="211">
        <v>32874</v>
      </c>
      <c r="B6" s="212">
        <v>108.13418745152707</v>
      </c>
      <c r="C6" s="212">
        <v>93.106381140215305</v>
      </c>
      <c r="D6" s="212">
        <v>106.64036496112075</v>
      </c>
      <c r="E6" s="212">
        <v>72.517413139261691</v>
      </c>
      <c r="F6" s="212">
        <v>201.50304064581283</v>
      </c>
      <c r="G6" s="212">
        <v>106.89901135496135</v>
      </c>
      <c r="I6" s="213"/>
      <c r="J6" s="213"/>
      <c r="K6" s="213"/>
      <c r="L6" s="213"/>
      <c r="M6" s="213"/>
      <c r="N6" s="213"/>
      <c r="O6" s="213"/>
    </row>
    <row r="7" spans="1:15" ht="12.75" customHeight="1" x14ac:dyDescent="0.2">
      <c r="A7" s="211">
        <v>32905</v>
      </c>
      <c r="B7" s="212">
        <v>113.06895079198387</v>
      </c>
      <c r="C7" s="212">
        <v>90.816541067250228</v>
      </c>
      <c r="D7" s="212">
        <v>104.37410019994707</v>
      </c>
      <c r="E7" s="212">
        <v>72.526779209670053</v>
      </c>
      <c r="F7" s="212">
        <v>207.88870038458859</v>
      </c>
      <c r="G7" s="212">
        <v>108.07544781193134</v>
      </c>
      <c r="I7" s="213"/>
      <c r="J7" s="213"/>
      <c r="K7" s="213"/>
      <c r="L7" s="213"/>
      <c r="M7" s="213"/>
      <c r="N7" s="213"/>
    </row>
    <row r="8" spans="1:15" ht="12.75" customHeight="1" x14ac:dyDescent="0.2">
      <c r="A8" s="211">
        <v>32933</v>
      </c>
      <c r="B8" s="212">
        <v>115.40591594786993</v>
      </c>
      <c r="C8" s="212">
        <v>72.717152257210117</v>
      </c>
      <c r="D8" s="212">
        <v>102.72887614365514</v>
      </c>
      <c r="E8" s="212">
        <v>74.268588769960544</v>
      </c>
      <c r="F8" s="212">
        <v>217.96385241687921</v>
      </c>
      <c r="G8" s="212">
        <v>106.37921253726472</v>
      </c>
      <c r="I8" s="213"/>
      <c r="J8" s="213"/>
      <c r="K8" s="213"/>
      <c r="L8" s="213"/>
      <c r="M8" s="213"/>
      <c r="N8" s="213"/>
    </row>
    <row r="9" spans="1:15" ht="12.75" customHeight="1" x14ac:dyDescent="0.2">
      <c r="A9" s="211">
        <v>32964</v>
      </c>
      <c r="B9" s="212">
        <v>127.45167247961386</v>
      </c>
      <c r="C9" s="212">
        <v>84.330583638198846</v>
      </c>
      <c r="D9" s="212">
        <v>105.61581110245112</v>
      </c>
      <c r="E9" s="212">
        <v>71.763905488830702</v>
      </c>
      <c r="F9" s="212">
        <v>216.26100981987238</v>
      </c>
      <c r="G9" s="212">
        <v>112.81510705969391</v>
      </c>
      <c r="I9" s="213"/>
      <c r="J9" s="213"/>
      <c r="K9" s="213"/>
      <c r="L9" s="213"/>
      <c r="M9" s="213"/>
      <c r="N9" s="213"/>
    </row>
    <row r="10" spans="1:15" ht="12.75" customHeight="1" x14ac:dyDescent="0.2">
      <c r="A10" s="211">
        <v>32994</v>
      </c>
      <c r="B10" s="212">
        <v>127.37208969726819</v>
      </c>
      <c r="C10" s="212">
        <v>69.054076497100198</v>
      </c>
      <c r="D10" s="212">
        <v>105.52653810516357</v>
      </c>
      <c r="E10" s="212">
        <v>73.970942725656784</v>
      </c>
      <c r="F10" s="212">
        <v>207.1791826358357</v>
      </c>
      <c r="G10" s="212">
        <v>109.85971063973101</v>
      </c>
      <c r="I10" s="213"/>
      <c r="J10" s="213"/>
      <c r="K10" s="213"/>
      <c r="L10" s="213"/>
      <c r="M10" s="213"/>
      <c r="N10" s="213"/>
    </row>
    <row r="11" spans="1:15" ht="12.75" customHeight="1" x14ac:dyDescent="0.2">
      <c r="A11" s="211">
        <v>33025</v>
      </c>
      <c r="B11" s="212">
        <v>127.86198088390708</v>
      </c>
      <c r="C11" s="212">
        <v>69.054076497100198</v>
      </c>
      <c r="D11" s="212">
        <v>103.25062437124944</v>
      </c>
      <c r="E11" s="212">
        <v>71.317771692642381</v>
      </c>
      <c r="F11" s="212">
        <v>184.04890402649244</v>
      </c>
      <c r="G11" s="212">
        <v>107.36851643653536</v>
      </c>
      <c r="I11" s="213"/>
      <c r="J11" s="213"/>
      <c r="K11" s="213"/>
      <c r="L11" s="213"/>
      <c r="M11" s="213"/>
      <c r="N11" s="213"/>
    </row>
    <row r="12" spans="1:15" ht="12.75" customHeight="1" x14ac:dyDescent="0.2">
      <c r="A12" s="211">
        <v>33055</v>
      </c>
      <c r="B12" s="212">
        <v>126.26877969083981</v>
      </c>
      <c r="C12" s="212">
        <v>69.054076497100198</v>
      </c>
      <c r="D12" s="212">
        <v>97.263081074213517</v>
      </c>
      <c r="E12" s="212">
        <v>71.175199396649731</v>
      </c>
      <c r="F12" s="212">
        <v>170.14235615093634</v>
      </c>
      <c r="G12" s="212">
        <v>104.16730292620737</v>
      </c>
      <c r="I12" s="213"/>
      <c r="J12" s="213"/>
      <c r="K12" s="213"/>
      <c r="L12" s="213"/>
      <c r="M12" s="213"/>
      <c r="N12" s="213"/>
    </row>
    <row r="13" spans="1:15" ht="12.75" customHeight="1" x14ac:dyDescent="0.2">
      <c r="A13" s="211">
        <v>33086</v>
      </c>
      <c r="B13" s="212">
        <v>123.82347740130828</v>
      </c>
      <c r="C13" s="212">
        <v>65.147888337373203</v>
      </c>
      <c r="D13" s="212">
        <v>93.449262275459319</v>
      </c>
      <c r="E13" s="212">
        <v>73.72388224269865</v>
      </c>
      <c r="F13" s="212">
        <v>155.10057987737565</v>
      </c>
      <c r="G13" s="212">
        <v>100.90446540566899</v>
      </c>
      <c r="I13" s="213"/>
      <c r="J13" s="213"/>
      <c r="K13" s="213"/>
      <c r="L13" s="213"/>
      <c r="M13" s="213"/>
      <c r="N13" s="213"/>
    </row>
    <row r="14" spans="1:15" ht="12.75" customHeight="1" x14ac:dyDescent="0.2">
      <c r="A14" s="211">
        <v>33117</v>
      </c>
      <c r="B14" s="212">
        <v>131.51162901931255</v>
      </c>
      <c r="C14" s="212">
        <v>67.348858374319136</v>
      </c>
      <c r="D14" s="212">
        <v>87.790028246877853</v>
      </c>
      <c r="E14" s="212">
        <v>72.916946266506656</v>
      </c>
      <c r="F14" s="212">
        <v>157.08722957388366</v>
      </c>
      <c r="G14" s="212">
        <v>102.43626783543269</v>
      </c>
      <c r="I14" s="213"/>
      <c r="J14" s="213"/>
      <c r="K14" s="213"/>
      <c r="L14" s="213"/>
      <c r="M14" s="213"/>
      <c r="N14" s="213"/>
    </row>
    <row r="15" spans="1:15" ht="12.75" customHeight="1" x14ac:dyDescent="0.2">
      <c r="A15" s="211">
        <v>33147</v>
      </c>
      <c r="B15" s="212">
        <v>129.97222640628513</v>
      </c>
      <c r="C15" s="212">
        <v>68.72062774824569</v>
      </c>
      <c r="D15" s="212">
        <v>88.924346400231912</v>
      </c>
      <c r="E15" s="212">
        <v>74.518634362975206</v>
      </c>
      <c r="F15" s="212">
        <v>139.34928585506213</v>
      </c>
      <c r="G15" s="212">
        <v>101.38723079237923</v>
      </c>
      <c r="I15" s="213"/>
      <c r="J15" s="213"/>
      <c r="K15" s="213"/>
      <c r="L15" s="213"/>
      <c r="M15" s="213"/>
      <c r="N15" s="213"/>
    </row>
    <row r="16" spans="1:15" ht="12.75" customHeight="1" x14ac:dyDescent="0.2">
      <c r="A16" s="211">
        <v>33178</v>
      </c>
      <c r="B16" s="212">
        <v>126.95408739508925</v>
      </c>
      <c r="C16" s="212">
        <v>69.680751686561109</v>
      </c>
      <c r="D16" s="212">
        <v>88.164426634600773</v>
      </c>
      <c r="E16" s="212">
        <v>78.255713162690355</v>
      </c>
      <c r="F16" s="212">
        <v>142.89687459882643</v>
      </c>
      <c r="G16" s="212">
        <v>101.0789116752735</v>
      </c>
      <c r="I16" s="213"/>
      <c r="J16" s="213"/>
      <c r="K16" s="213"/>
      <c r="L16" s="213"/>
      <c r="M16" s="213"/>
      <c r="N16" s="213"/>
    </row>
    <row r="17" spans="1:14" ht="12.75" customHeight="1" x14ac:dyDescent="0.2">
      <c r="A17" s="211">
        <v>33208</v>
      </c>
      <c r="B17" s="212">
        <v>130.03636792377981</v>
      </c>
      <c r="C17" s="212">
        <v>79.06036682737124</v>
      </c>
      <c r="D17" s="212">
        <v>88.880879223643561</v>
      </c>
      <c r="E17" s="212">
        <v>80.46809461177665</v>
      </c>
      <c r="F17" s="212">
        <v>138.21405745705752</v>
      </c>
      <c r="G17" s="212">
        <v>103.89175982800917</v>
      </c>
      <c r="I17" s="213"/>
      <c r="J17" s="213"/>
      <c r="K17" s="213"/>
      <c r="L17" s="213"/>
      <c r="M17" s="213"/>
      <c r="N17" s="213"/>
    </row>
    <row r="18" spans="1:14" ht="12.75" customHeight="1" x14ac:dyDescent="0.2">
      <c r="A18" s="211">
        <v>33239</v>
      </c>
      <c r="B18" s="212">
        <v>128.01328771188844</v>
      </c>
      <c r="C18" s="212">
        <v>82.489217145021755</v>
      </c>
      <c r="D18" s="212">
        <v>90.433494856667949</v>
      </c>
      <c r="E18" s="212">
        <v>79.83485003766711</v>
      </c>
      <c r="F18" s="212">
        <v>124.87512378050374</v>
      </c>
      <c r="G18" s="212">
        <v>103.13392114075987</v>
      </c>
      <c r="I18" s="213"/>
      <c r="J18" s="213"/>
      <c r="K18" s="213"/>
      <c r="L18" s="213"/>
      <c r="M18" s="213"/>
      <c r="N18" s="213"/>
    </row>
    <row r="19" spans="1:14" ht="12.75" customHeight="1" x14ac:dyDescent="0.2">
      <c r="A19" s="211">
        <v>33270</v>
      </c>
      <c r="B19" s="212">
        <v>133.91441398088978</v>
      </c>
      <c r="C19" s="212">
        <v>81.841195257035821</v>
      </c>
      <c r="D19" s="212">
        <v>92.099526647874882</v>
      </c>
      <c r="E19" s="212">
        <v>77.92455662914432</v>
      </c>
      <c r="F19" s="212">
        <v>120.75992083773713</v>
      </c>
      <c r="G19" s="212">
        <v>104.95931975426141</v>
      </c>
      <c r="I19" s="213"/>
      <c r="J19" s="213"/>
      <c r="K19" s="213"/>
      <c r="L19" s="213"/>
      <c r="M19" s="213"/>
      <c r="N19" s="213"/>
    </row>
    <row r="20" spans="1:14" ht="12.75" customHeight="1" x14ac:dyDescent="0.2">
      <c r="A20" s="211">
        <v>33298</v>
      </c>
      <c r="B20" s="212">
        <v>126.64352875695882</v>
      </c>
      <c r="C20" s="212">
        <v>80.058926681829846</v>
      </c>
      <c r="D20" s="212">
        <v>95.04039207010338</v>
      </c>
      <c r="E20" s="212">
        <v>78.326979507595524</v>
      </c>
      <c r="F20" s="212">
        <v>129.69984447202319</v>
      </c>
      <c r="G20" s="212">
        <v>103.63551571386421</v>
      </c>
      <c r="I20" s="213"/>
      <c r="J20" s="213"/>
      <c r="K20" s="213"/>
      <c r="L20" s="213"/>
      <c r="M20" s="213"/>
      <c r="N20" s="213"/>
    </row>
    <row r="21" spans="1:14" ht="12.75" customHeight="1" x14ac:dyDescent="0.2">
      <c r="A21" s="211">
        <v>33329</v>
      </c>
      <c r="B21" s="212">
        <v>122.15943904256117</v>
      </c>
      <c r="C21" s="212">
        <v>75.123624933075035</v>
      </c>
      <c r="D21" s="212">
        <v>96.525458880167136</v>
      </c>
      <c r="E21" s="212">
        <v>76.126941939619826</v>
      </c>
      <c r="F21" s="212">
        <v>120.75992083773713</v>
      </c>
      <c r="G21" s="212">
        <v>100.69786330395195</v>
      </c>
      <c r="I21" s="213"/>
      <c r="J21" s="213"/>
      <c r="K21" s="213"/>
      <c r="L21" s="213"/>
      <c r="M21" s="213"/>
      <c r="N21" s="213"/>
    </row>
    <row r="22" spans="1:14" ht="12.75" customHeight="1" x14ac:dyDescent="0.2">
      <c r="A22" s="211">
        <v>33359</v>
      </c>
      <c r="B22" s="212">
        <v>123.34946782730481</v>
      </c>
      <c r="C22" s="212">
        <v>73.926298386939692</v>
      </c>
      <c r="D22" s="212">
        <v>95.463489116917401</v>
      </c>
      <c r="E22" s="212">
        <v>75.12093531311443</v>
      </c>
      <c r="F22" s="212">
        <v>107.5628907109339</v>
      </c>
      <c r="G22" s="212">
        <v>99.528045360643731</v>
      </c>
      <c r="I22" s="213"/>
      <c r="J22" s="213"/>
      <c r="K22" s="213"/>
      <c r="L22" s="213"/>
      <c r="M22" s="213"/>
      <c r="N22" s="213"/>
    </row>
    <row r="23" spans="1:14" ht="12.75" customHeight="1" x14ac:dyDescent="0.2">
      <c r="A23" s="211">
        <v>33390</v>
      </c>
      <c r="B23" s="212">
        <v>121.77267309021759</v>
      </c>
      <c r="C23" s="212">
        <v>75.830353930771508</v>
      </c>
      <c r="D23" s="212">
        <v>94.557855405741947</v>
      </c>
      <c r="E23" s="212">
        <v>75.44799715205329</v>
      </c>
      <c r="F23" s="212">
        <v>130.55126577052661</v>
      </c>
      <c r="G23" s="212">
        <v>100.75798328446237</v>
      </c>
      <c r="I23" s="213"/>
      <c r="J23" s="213"/>
      <c r="K23" s="213"/>
      <c r="L23" s="213"/>
      <c r="M23" s="213"/>
      <c r="N23" s="213"/>
    </row>
    <row r="24" spans="1:14" ht="12.75" customHeight="1" x14ac:dyDescent="0.2">
      <c r="A24" s="211">
        <v>33420</v>
      </c>
      <c r="B24" s="212">
        <v>121.44204796515135</v>
      </c>
      <c r="C24" s="212">
        <v>70.424841095443085</v>
      </c>
      <c r="D24" s="212">
        <v>93.595881357151555</v>
      </c>
      <c r="E24" s="212">
        <v>77.554968155379456</v>
      </c>
      <c r="F24" s="212">
        <v>146.30255979284016</v>
      </c>
      <c r="G24" s="212">
        <v>100.91004724074008</v>
      </c>
      <c r="I24" s="213"/>
      <c r="J24" s="213"/>
      <c r="K24" s="213"/>
      <c r="L24" s="213"/>
      <c r="M24" s="213"/>
      <c r="N24" s="213"/>
    </row>
    <row r="25" spans="1:14" ht="12.75" customHeight="1" x14ac:dyDescent="0.2">
      <c r="A25" s="211">
        <v>33451</v>
      </c>
      <c r="B25" s="212">
        <v>120.16791742709169</v>
      </c>
      <c r="C25" s="212">
        <v>72.754512668395648</v>
      </c>
      <c r="D25" s="212">
        <v>97.90430820771293</v>
      </c>
      <c r="E25" s="212">
        <v>79.29136449622689</v>
      </c>
      <c r="F25" s="212">
        <v>134.24075806404153</v>
      </c>
      <c r="G25" s="212">
        <v>101.40353678919678</v>
      </c>
      <c r="I25" s="213"/>
      <c r="J25" s="213"/>
      <c r="K25" s="213"/>
      <c r="L25" s="213"/>
      <c r="M25" s="213"/>
      <c r="N25" s="213"/>
    </row>
    <row r="26" spans="1:14" ht="12.75" customHeight="1" x14ac:dyDescent="0.2">
      <c r="A26" s="211">
        <v>33482</v>
      </c>
      <c r="B26" s="212">
        <v>123.14547355796854</v>
      </c>
      <c r="C26" s="212">
        <v>79.334103690931556</v>
      </c>
      <c r="D26" s="212">
        <v>98.77774602250507</v>
      </c>
      <c r="E26" s="212">
        <v>79.052592975078468</v>
      </c>
      <c r="F26" s="212">
        <v>131.82839771828176</v>
      </c>
      <c r="G26" s="212">
        <v>103.56984030838066</v>
      </c>
      <c r="I26" s="213"/>
      <c r="J26" s="213"/>
      <c r="K26" s="213"/>
      <c r="L26" s="213"/>
      <c r="M26" s="213"/>
      <c r="N26" s="213"/>
    </row>
    <row r="27" spans="1:14" ht="12.75" customHeight="1" x14ac:dyDescent="0.2">
      <c r="A27" s="211">
        <v>33512</v>
      </c>
      <c r="B27" s="212">
        <v>126.15121512613415</v>
      </c>
      <c r="C27" s="212">
        <v>85.399137918953556</v>
      </c>
      <c r="D27" s="212">
        <v>102.11303348290204</v>
      </c>
      <c r="E27" s="212">
        <v>83.17806842109799</v>
      </c>
      <c r="F27" s="212">
        <v>129.41603737252203</v>
      </c>
      <c r="G27" s="212">
        <v>106.9457613221049</v>
      </c>
      <c r="I27" s="213"/>
      <c r="J27" s="213"/>
      <c r="K27" s="213"/>
      <c r="L27" s="213"/>
      <c r="M27" s="213"/>
      <c r="N27" s="213"/>
    </row>
    <row r="28" spans="1:14" ht="12.75" customHeight="1" x14ac:dyDescent="0.2">
      <c r="A28" s="211">
        <v>33543</v>
      </c>
      <c r="B28" s="212">
        <v>131.01602876450954</v>
      </c>
      <c r="C28" s="212">
        <v>88.860834439836722</v>
      </c>
      <c r="D28" s="212">
        <v>102.46945178839846</v>
      </c>
      <c r="E28" s="212">
        <v>83.629141698269763</v>
      </c>
      <c r="F28" s="212">
        <v>122.8884740839957</v>
      </c>
      <c r="G28" s="212">
        <v>108.90529703613484</v>
      </c>
      <c r="I28" s="213"/>
      <c r="J28" s="213"/>
      <c r="K28" s="213"/>
      <c r="L28" s="213"/>
      <c r="M28" s="213"/>
      <c r="N28" s="213"/>
    </row>
    <row r="29" spans="1:14" ht="12.75" customHeight="1" x14ac:dyDescent="0.2">
      <c r="A29" s="211">
        <v>33573</v>
      </c>
      <c r="B29" s="212">
        <v>127.07498672401461</v>
      </c>
      <c r="C29" s="212">
        <v>88.860834439836722</v>
      </c>
      <c r="D29" s="212">
        <v>105.65919385407358</v>
      </c>
      <c r="E29" s="212">
        <v>84.258889137603546</v>
      </c>
      <c r="F29" s="212">
        <v>127.71319477551518</v>
      </c>
      <c r="G29" s="212">
        <v>108.83954705169529</v>
      </c>
      <c r="I29" s="213"/>
      <c r="J29" s="213"/>
      <c r="K29" s="213"/>
      <c r="L29" s="213"/>
      <c r="M29" s="213"/>
      <c r="N29" s="213"/>
    </row>
    <row r="30" spans="1:14" ht="12.75" customHeight="1" x14ac:dyDescent="0.2">
      <c r="A30" s="211">
        <v>33604</v>
      </c>
      <c r="B30" s="212">
        <v>125.55539373873066</v>
      </c>
      <c r="C30" s="212">
        <v>92.028645071264066</v>
      </c>
      <c r="D30" s="212">
        <v>107.77133111227529</v>
      </c>
      <c r="E30" s="212">
        <v>84.847847529715963</v>
      </c>
      <c r="F30" s="212">
        <v>118.06375339247626</v>
      </c>
      <c r="G30" s="212">
        <v>108.80374437712777</v>
      </c>
      <c r="I30" s="213"/>
      <c r="J30" s="213"/>
      <c r="K30" s="213"/>
      <c r="L30" s="213"/>
      <c r="M30" s="213"/>
      <c r="N30" s="213"/>
    </row>
    <row r="31" spans="1:14" ht="12.75" customHeight="1" x14ac:dyDescent="0.2">
      <c r="A31" s="211">
        <v>33635</v>
      </c>
      <c r="B31" s="212">
        <v>129.62913114368143</v>
      </c>
      <c r="C31" s="212">
        <v>92.028645071264066</v>
      </c>
      <c r="D31" s="212">
        <v>111.19038476020421</v>
      </c>
      <c r="E31" s="212">
        <v>82.928828271955865</v>
      </c>
      <c r="F31" s="212">
        <v>111.25238300444877</v>
      </c>
      <c r="G31" s="212">
        <v>110.38332905646239</v>
      </c>
      <c r="I31" s="213"/>
      <c r="J31" s="213"/>
      <c r="K31" s="213"/>
      <c r="L31" s="213"/>
      <c r="M31" s="213"/>
      <c r="N31" s="213"/>
    </row>
    <row r="32" spans="1:14" ht="12.75" customHeight="1" x14ac:dyDescent="0.2">
      <c r="A32" s="211">
        <v>33664</v>
      </c>
      <c r="B32" s="212">
        <v>124.20035109600467</v>
      </c>
      <c r="C32" s="212">
        <v>91.253976679965206</v>
      </c>
      <c r="D32" s="212">
        <v>110.93427969501082</v>
      </c>
      <c r="E32" s="212">
        <v>85.887686445692935</v>
      </c>
      <c r="F32" s="212">
        <v>116.64471789497053</v>
      </c>
      <c r="G32" s="212">
        <v>109.1066471034359</v>
      </c>
      <c r="I32" s="213"/>
      <c r="J32" s="213"/>
      <c r="K32" s="213"/>
      <c r="L32" s="213"/>
      <c r="M32" s="213"/>
      <c r="N32" s="213"/>
    </row>
    <row r="33" spans="1:14" ht="12.75" customHeight="1" x14ac:dyDescent="0.2">
      <c r="A33" s="211">
        <v>33695</v>
      </c>
      <c r="B33" s="212">
        <v>123.47086995006531</v>
      </c>
      <c r="C33" s="212">
        <v>91.253976679965206</v>
      </c>
      <c r="D33" s="212">
        <v>105.7935544036866</v>
      </c>
      <c r="E33" s="212">
        <v>85.521168670063645</v>
      </c>
      <c r="F33" s="212">
        <v>134.24075806404153</v>
      </c>
      <c r="G33" s="212">
        <v>108.6751620780622</v>
      </c>
      <c r="I33" s="213"/>
      <c r="J33" s="213"/>
      <c r="K33" s="213"/>
      <c r="L33" s="213"/>
      <c r="M33" s="213"/>
      <c r="N33" s="213"/>
    </row>
    <row r="34" spans="1:14" ht="12.75" customHeight="1" x14ac:dyDescent="0.2">
      <c r="A34" s="211">
        <v>33725</v>
      </c>
      <c r="B34" s="212">
        <v>125.31344620501019</v>
      </c>
      <c r="C34" s="212">
        <v>94.874679121911669</v>
      </c>
      <c r="D34" s="212">
        <v>104.56605500319208</v>
      </c>
      <c r="E34" s="212">
        <v>86.047362908054097</v>
      </c>
      <c r="F34" s="212">
        <v>136.08550421079894</v>
      </c>
      <c r="G34" s="212">
        <v>109.79640982487135</v>
      </c>
      <c r="I34" s="213"/>
      <c r="J34" s="213"/>
      <c r="K34" s="213"/>
      <c r="L34" s="213"/>
      <c r="M34" s="213"/>
      <c r="N34" s="213"/>
    </row>
    <row r="35" spans="1:14" ht="12.75" customHeight="1" x14ac:dyDescent="0.2">
      <c r="A35" s="211">
        <v>33756</v>
      </c>
      <c r="B35" s="212">
        <v>126.78501608812425</v>
      </c>
      <c r="C35" s="212">
        <v>99.994776968833619</v>
      </c>
      <c r="D35" s="212">
        <v>103.78536116647896</v>
      </c>
      <c r="E35" s="212">
        <v>87.267290831925166</v>
      </c>
      <c r="F35" s="212">
        <v>147.01207754159302</v>
      </c>
      <c r="G35" s="212">
        <v>111.91459888276046</v>
      </c>
      <c r="I35" s="213"/>
      <c r="J35" s="213"/>
      <c r="K35" s="213"/>
      <c r="L35" s="213"/>
      <c r="M35" s="213"/>
      <c r="N35" s="213"/>
    </row>
    <row r="36" spans="1:14" ht="12.75" customHeight="1" x14ac:dyDescent="0.2">
      <c r="A36" s="211">
        <v>33786</v>
      </c>
      <c r="B36" s="212">
        <v>125.65534683155606</v>
      </c>
      <c r="C36" s="212">
        <v>100.8859112564366</v>
      </c>
      <c r="D36" s="212">
        <v>99.0205034849009</v>
      </c>
      <c r="E36" s="212">
        <v>82.709543329859613</v>
      </c>
      <c r="F36" s="212">
        <v>146.30255979284016</v>
      </c>
      <c r="G36" s="212">
        <v>109.68204793352243</v>
      </c>
      <c r="I36" s="213"/>
      <c r="J36" s="213"/>
      <c r="K36" s="213"/>
      <c r="L36" s="213"/>
      <c r="M36" s="213"/>
      <c r="N36" s="213"/>
    </row>
    <row r="37" spans="1:14" ht="12.75" customHeight="1" x14ac:dyDescent="0.2">
      <c r="A37" s="211">
        <v>33817</v>
      </c>
      <c r="B37" s="212">
        <v>126.64581311722468</v>
      </c>
      <c r="C37" s="212">
        <v>98.761991671915567</v>
      </c>
      <c r="D37" s="212">
        <v>94.320933311586217</v>
      </c>
      <c r="E37" s="212">
        <v>80.835629560930073</v>
      </c>
      <c r="F37" s="212">
        <v>139.4911894048127</v>
      </c>
      <c r="G37" s="212">
        <v>107.63795553416819</v>
      </c>
      <c r="I37" s="213"/>
      <c r="J37" s="213"/>
      <c r="K37" s="213"/>
      <c r="L37" s="213"/>
      <c r="M37" s="213"/>
      <c r="N37" s="213"/>
    </row>
    <row r="38" spans="1:14" ht="12.75" customHeight="1" x14ac:dyDescent="0.2">
      <c r="A38" s="211">
        <v>33848</v>
      </c>
      <c r="B38" s="212">
        <v>124.51187285750748</v>
      </c>
      <c r="C38" s="212">
        <v>101.57337383614937</v>
      </c>
      <c r="D38" s="212">
        <v>97.806880221009749</v>
      </c>
      <c r="E38" s="212">
        <v>82.844534039744318</v>
      </c>
      <c r="F38" s="212">
        <v>132.11220481778292</v>
      </c>
      <c r="G38" s="212">
        <v>108.06669641912535</v>
      </c>
      <c r="I38" s="213"/>
      <c r="J38" s="213"/>
      <c r="K38" s="213"/>
      <c r="L38" s="213"/>
      <c r="M38" s="213"/>
      <c r="N38" s="213"/>
    </row>
    <row r="39" spans="1:14" ht="12.75" customHeight="1" x14ac:dyDescent="0.2">
      <c r="A39" s="211">
        <v>33878</v>
      </c>
      <c r="B39" s="212">
        <v>122.7845463052037</v>
      </c>
      <c r="C39" s="212">
        <v>95.880473622637624</v>
      </c>
      <c r="D39" s="212">
        <v>97.703970578792251</v>
      </c>
      <c r="E39" s="212">
        <v>82.933129516216169</v>
      </c>
      <c r="F39" s="212">
        <v>123.59799183274858</v>
      </c>
      <c r="G39" s="212">
        <v>105.88310561202037</v>
      </c>
      <c r="I39" s="213"/>
      <c r="J39" s="213"/>
      <c r="K39" s="213"/>
      <c r="L39" s="213"/>
      <c r="M39" s="213"/>
      <c r="N39" s="213"/>
    </row>
    <row r="40" spans="1:14" ht="12.75" customHeight="1" x14ac:dyDescent="0.2">
      <c r="A40" s="211">
        <v>33909</v>
      </c>
      <c r="B40" s="212">
        <v>128.01513077914939</v>
      </c>
      <c r="C40" s="212">
        <v>93.609022373913305</v>
      </c>
      <c r="D40" s="212">
        <v>98.922538498446642</v>
      </c>
      <c r="E40" s="212">
        <v>85.477543634127457</v>
      </c>
      <c r="F40" s="212">
        <v>121.61134213624057</v>
      </c>
      <c r="G40" s="212">
        <v>107.86632359752269</v>
      </c>
      <c r="I40" s="213"/>
      <c r="J40" s="213"/>
      <c r="K40" s="213"/>
      <c r="L40" s="213"/>
      <c r="M40" s="213"/>
      <c r="N40" s="213"/>
    </row>
    <row r="41" spans="1:14" ht="12.75" customHeight="1" x14ac:dyDescent="0.2">
      <c r="A41" s="211">
        <v>33939</v>
      </c>
      <c r="B41" s="212">
        <v>119.89899934026394</v>
      </c>
      <c r="C41" s="212">
        <v>92.685041883077673</v>
      </c>
      <c r="D41" s="212">
        <v>97.661481795842946</v>
      </c>
      <c r="E41" s="212">
        <v>83.997089999950276</v>
      </c>
      <c r="F41" s="212">
        <v>115.65139304671652</v>
      </c>
      <c r="G41" s="212">
        <v>103.91147365922583</v>
      </c>
      <c r="I41" s="213"/>
      <c r="J41" s="213"/>
      <c r="K41" s="213"/>
      <c r="L41" s="213"/>
      <c r="M41" s="213"/>
      <c r="N41" s="213"/>
    </row>
    <row r="42" spans="1:14" ht="12.75" customHeight="1" x14ac:dyDescent="0.2">
      <c r="A42" s="211">
        <v>33970</v>
      </c>
      <c r="B42" s="212">
        <v>121.89370975745265</v>
      </c>
      <c r="C42" s="212">
        <v>92.519537450741851</v>
      </c>
      <c r="D42" s="212">
        <v>98.789906261765566</v>
      </c>
      <c r="E42" s="212">
        <v>85.244295516818227</v>
      </c>
      <c r="F42" s="212">
        <v>116.92852499447166</v>
      </c>
      <c r="G42" s="212">
        <v>105.1513245720206</v>
      </c>
      <c r="I42" s="213"/>
      <c r="J42" s="213"/>
      <c r="K42" s="213"/>
      <c r="L42" s="213"/>
      <c r="M42" s="213"/>
      <c r="N42" s="213"/>
    </row>
    <row r="43" spans="1:14" ht="12.75" customHeight="1" x14ac:dyDescent="0.2">
      <c r="A43" s="211">
        <v>34001</v>
      </c>
      <c r="B43" s="212">
        <v>121.35011841140577</v>
      </c>
      <c r="C43" s="212">
        <v>93.733447137936849</v>
      </c>
      <c r="D43" s="212">
        <v>97.472619109917986</v>
      </c>
      <c r="E43" s="212">
        <v>84.99244670772994</v>
      </c>
      <c r="F43" s="212">
        <v>121.46943858649</v>
      </c>
      <c r="G43" s="212">
        <v>105.10036854546483</v>
      </c>
      <c r="I43" s="213"/>
      <c r="J43" s="213"/>
      <c r="K43" s="213"/>
      <c r="L43" s="213"/>
      <c r="M43" s="213"/>
      <c r="N43" s="213"/>
    </row>
    <row r="44" spans="1:14" ht="12.75" customHeight="1" x14ac:dyDescent="0.2">
      <c r="A44" s="211">
        <v>34029</v>
      </c>
      <c r="B44" s="212">
        <v>121.21640480309817</v>
      </c>
      <c r="C44" s="212">
        <v>92.545410981143547</v>
      </c>
      <c r="D44" s="212">
        <v>97.336783505656655</v>
      </c>
      <c r="E44" s="212">
        <v>83.629566114689993</v>
      </c>
      <c r="F44" s="212">
        <v>150.7015698351079</v>
      </c>
      <c r="G44" s="212">
        <v>106.73288373637082</v>
      </c>
      <c r="I44" s="213"/>
      <c r="J44" s="213"/>
      <c r="K44" s="213"/>
      <c r="L44" s="213"/>
      <c r="M44" s="213"/>
      <c r="N44" s="213"/>
    </row>
    <row r="45" spans="1:14" ht="12.75" customHeight="1" x14ac:dyDescent="0.2">
      <c r="A45" s="211">
        <v>34060</v>
      </c>
      <c r="B45" s="212">
        <v>117.7211366180257</v>
      </c>
      <c r="C45" s="212">
        <v>91.049300196491373</v>
      </c>
      <c r="D45" s="212">
        <v>96.447976806168214</v>
      </c>
      <c r="E45" s="212">
        <v>83.249801090551003</v>
      </c>
      <c r="F45" s="212">
        <v>158.22245797188825</v>
      </c>
      <c r="G45" s="212">
        <v>105.51569301489575</v>
      </c>
      <c r="I45" s="213"/>
      <c r="J45" s="213"/>
      <c r="K45" s="213"/>
      <c r="L45" s="213"/>
      <c r="M45" s="213"/>
      <c r="N45" s="213"/>
    </row>
    <row r="46" spans="1:14" ht="12.75" customHeight="1" x14ac:dyDescent="0.2">
      <c r="A46" s="211">
        <v>34090</v>
      </c>
      <c r="B46" s="212">
        <v>119.04864942763625</v>
      </c>
      <c r="C46" s="212">
        <v>89.816316799838049</v>
      </c>
      <c r="D46" s="212">
        <v>93.35525793845477</v>
      </c>
      <c r="E46" s="212">
        <v>82.416621002550343</v>
      </c>
      <c r="F46" s="212">
        <v>167.87189935492717</v>
      </c>
      <c r="G46" s="212">
        <v>105.50847152373117</v>
      </c>
      <c r="I46" s="213"/>
      <c r="J46" s="213"/>
      <c r="K46" s="213"/>
      <c r="L46" s="213"/>
      <c r="M46" s="213"/>
      <c r="N46" s="213"/>
    </row>
    <row r="47" spans="1:14" ht="12.75" customHeight="1" x14ac:dyDescent="0.2">
      <c r="A47" s="211">
        <v>34121</v>
      </c>
      <c r="B47" s="212">
        <v>119.68288289418574</v>
      </c>
      <c r="C47" s="212">
        <v>89.856148299825534</v>
      </c>
      <c r="D47" s="212">
        <v>88.882920968822617</v>
      </c>
      <c r="E47" s="212">
        <v>81.822829887559564</v>
      </c>
      <c r="F47" s="212">
        <v>147.43778819084474</v>
      </c>
      <c r="G47" s="212">
        <v>102.96401444034412</v>
      </c>
      <c r="I47" s="213"/>
      <c r="J47" s="213"/>
      <c r="K47" s="213"/>
      <c r="L47" s="213"/>
      <c r="M47" s="213"/>
      <c r="N47" s="213"/>
    </row>
    <row r="48" spans="1:14" ht="12.75" customHeight="1" x14ac:dyDescent="0.2">
      <c r="A48" s="211">
        <v>34151</v>
      </c>
      <c r="B48" s="212">
        <v>118.84922190986273</v>
      </c>
      <c r="C48" s="212">
        <v>86.413773930711358</v>
      </c>
      <c r="D48" s="212">
        <v>94.096524003061418</v>
      </c>
      <c r="E48" s="212">
        <v>85.723319198050064</v>
      </c>
      <c r="F48" s="212">
        <v>137.3626361585541</v>
      </c>
      <c r="G48" s="212">
        <v>103.33810758862208</v>
      </c>
      <c r="I48" s="213"/>
      <c r="J48" s="213"/>
      <c r="K48" s="213"/>
      <c r="L48" s="213"/>
      <c r="M48" s="213"/>
      <c r="N48" s="213"/>
    </row>
    <row r="49" spans="1:14" ht="12.75" customHeight="1" x14ac:dyDescent="0.2">
      <c r="A49" s="211">
        <v>34182</v>
      </c>
      <c r="B49" s="212">
        <v>114.92750648249594</v>
      </c>
      <c r="C49" s="212">
        <v>83.329310635627635</v>
      </c>
      <c r="D49" s="212">
        <v>95.594241062570333</v>
      </c>
      <c r="E49" s="212">
        <v>84.501095054204285</v>
      </c>
      <c r="F49" s="212">
        <v>132.53791546703465</v>
      </c>
      <c r="G49" s="212">
        <v>101.34467772103994</v>
      </c>
      <c r="I49" s="213"/>
      <c r="J49" s="213"/>
      <c r="K49" s="213"/>
      <c r="L49" s="213"/>
      <c r="M49" s="213"/>
      <c r="N49" s="213"/>
    </row>
    <row r="50" spans="1:14" ht="12.75" customHeight="1" x14ac:dyDescent="0.2">
      <c r="A50" s="211">
        <v>34213</v>
      </c>
      <c r="B50" s="212">
        <v>116.20547642658634</v>
      </c>
      <c r="C50" s="212">
        <v>78.570513414510117</v>
      </c>
      <c r="D50" s="212">
        <v>98.494438233691028</v>
      </c>
      <c r="E50" s="212">
        <v>84.163833288065732</v>
      </c>
      <c r="F50" s="212">
        <v>135.37598646204606</v>
      </c>
      <c r="G50" s="212">
        <v>101.93461594429982</v>
      </c>
      <c r="I50" s="213"/>
      <c r="J50" s="213"/>
      <c r="K50" s="213"/>
      <c r="L50" s="213"/>
      <c r="M50" s="213"/>
      <c r="N50" s="213"/>
    </row>
    <row r="51" spans="1:14" ht="12.75" customHeight="1" x14ac:dyDescent="0.2">
      <c r="A51" s="211">
        <v>34243</v>
      </c>
      <c r="B51" s="212">
        <v>117.74340423287444</v>
      </c>
      <c r="C51" s="212">
        <v>71.656409428655351</v>
      </c>
      <c r="D51" s="212">
        <v>104.22459368873353</v>
      </c>
      <c r="E51" s="212">
        <v>83.545617472611141</v>
      </c>
      <c r="F51" s="212">
        <v>146.018752693339</v>
      </c>
      <c r="G51" s="212">
        <v>103.54453460482274</v>
      </c>
      <c r="I51" s="213"/>
      <c r="J51" s="213"/>
      <c r="K51" s="213"/>
      <c r="L51" s="213"/>
      <c r="M51" s="213"/>
      <c r="N51" s="213"/>
    </row>
    <row r="52" spans="1:14" ht="12.75" customHeight="1" x14ac:dyDescent="0.2">
      <c r="A52" s="211">
        <v>34274</v>
      </c>
      <c r="B52" s="212">
        <v>116.74975292108802</v>
      </c>
      <c r="C52" s="212">
        <v>72.101976572456849</v>
      </c>
      <c r="D52" s="212">
        <v>113.24263784648524</v>
      </c>
      <c r="E52" s="212">
        <v>90.225576911360434</v>
      </c>
      <c r="F52" s="212">
        <v>143.60639234757929</v>
      </c>
      <c r="G52" s="212">
        <v>106.49353324077242</v>
      </c>
      <c r="I52" s="213"/>
      <c r="J52" s="213"/>
      <c r="K52" s="213"/>
      <c r="L52" s="213"/>
      <c r="M52" s="213"/>
      <c r="N52" s="213"/>
    </row>
    <row r="53" spans="1:14" ht="12.75" customHeight="1" x14ac:dyDescent="0.2">
      <c r="A53" s="211">
        <v>34304</v>
      </c>
      <c r="B53" s="212">
        <v>111.69406765876282</v>
      </c>
      <c r="C53" s="212">
        <v>73.131090161484707</v>
      </c>
      <c r="D53" s="212">
        <v>116.55883776059932</v>
      </c>
      <c r="E53" s="212">
        <v>101.92148287694505</v>
      </c>
      <c r="F53" s="212">
        <v>149.28253433760216</v>
      </c>
      <c r="G53" s="212">
        <v>107.87592807904502</v>
      </c>
      <c r="I53" s="213"/>
      <c r="J53" s="213"/>
      <c r="K53" s="213"/>
      <c r="L53" s="213"/>
      <c r="M53" s="213"/>
      <c r="N53" s="213"/>
    </row>
    <row r="54" spans="1:14" ht="12.75" customHeight="1" x14ac:dyDescent="0.2">
      <c r="A54" s="211">
        <v>34335</v>
      </c>
      <c r="B54" s="212">
        <v>112.87873979649817</v>
      </c>
      <c r="C54" s="212">
        <v>79.390358292535353</v>
      </c>
      <c r="D54" s="212">
        <v>115.97897672428235</v>
      </c>
      <c r="E54" s="212">
        <v>102.76937425652464</v>
      </c>
      <c r="F54" s="212">
        <v>146.16065624308959</v>
      </c>
      <c r="G54" s="212">
        <v>109.07424887714362</v>
      </c>
      <c r="I54" s="213"/>
      <c r="J54" s="213"/>
      <c r="K54" s="213"/>
      <c r="L54" s="213"/>
      <c r="M54" s="213"/>
      <c r="N54" s="213"/>
    </row>
    <row r="55" spans="1:14" ht="12.75" customHeight="1" x14ac:dyDescent="0.2">
      <c r="A55" s="211">
        <v>34366</v>
      </c>
      <c r="B55" s="212">
        <v>113.42465534590774</v>
      </c>
      <c r="C55" s="212">
        <v>79.297960243451797</v>
      </c>
      <c r="D55" s="212">
        <v>113.3308250826979</v>
      </c>
      <c r="E55" s="212">
        <v>97.630097581298998</v>
      </c>
      <c r="F55" s="212">
        <v>153.53964083011934</v>
      </c>
      <c r="G55" s="212">
        <v>108.33403315374468</v>
      </c>
      <c r="I55" s="213"/>
      <c r="J55" s="213"/>
      <c r="K55" s="213"/>
      <c r="L55" s="213"/>
      <c r="M55" s="213"/>
      <c r="N55" s="213"/>
    </row>
    <row r="56" spans="1:14" ht="12.75" customHeight="1" x14ac:dyDescent="0.2">
      <c r="A56" s="211">
        <v>34394</v>
      </c>
      <c r="B56" s="212">
        <v>112.1090528609015</v>
      </c>
      <c r="C56" s="212">
        <v>80.16937418519133</v>
      </c>
      <c r="D56" s="212">
        <v>108.65592821105741</v>
      </c>
      <c r="E56" s="212">
        <v>98.802889469949704</v>
      </c>
      <c r="F56" s="212">
        <v>166.59476740717201</v>
      </c>
      <c r="G56" s="212">
        <v>107.86204889939481</v>
      </c>
      <c r="I56" s="213"/>
      <c r="J56" s="213"/>
      <c r="K56" s="213"/>
      <c r="L56" s="213"/>
      <c r="M56" s="213"/>
      <c r="N56" s="213"/>
    </row>
    <row r="57" spans="1:14" ht="12.75" customHeight="1" x14ac:dyDescent="0.2">
      <c r="A57" s="211">
        <v>34425</v>
      </c>
      <c r="B57" s="212">
        <v>111.31530686792543</v>
      </c>
      <c r="C57" s="212">
        <v>73.40375152008734</v>
      </c>
      <c r="D57" s="212">
        <v>105.82407301669232</v>
      </c>
      <c r="E57" s="212">
        <v>101.70194448473575</v>
      </c>
      <c r="F57" s="212">
        <v>156.23580827538021</v>
      </c>
      <c r="G57" s="212">
        <v>105.34710997763926</v>
      </c>
      <c r="I57" s="213"/>
      <c r="J57" s="213"/>
      <c r="K57" s="213"/>
      <c r="L57" s="213"/>
      <c r="M57" s="213"/>
      <c r="N57" s="213"/>
    </row>
    <row r="58" spans="1:14" ht="12.75" customHeight="1" x14ac:dyDescent="0.2">
      <c r="A58" s="211">
        <v>34455</v>
      </c>
      <c r="B58" s="212">
        <v>117.65494721998411</v>
      </c>
      <c r="C58" s="212">
        <v>73.40375152008734</v>
      </c>
      <c r="D58" s="212">
        <v>104.42023337893428</v>
      </c>
      <c r="E58" s="212">
        <v>107.17259591587369</v>
      </c>
      <c r="F58" s="212">
        <v>164.32431061116287</v>
      </c>
      <c r="G58" s="212">
        <v>108.5254397939409</v>
      </c>
      <c r="I58" s="213"/>
      <c r="J58" s="213"/>
      <c r="K58" s="213"/>
      <c r="L58" s="213"/>
      <c r="M58" s="213"/>
      <c r="N58" s="213"/>
    </row>
    <row r="59" spans="1:14" ht="12.75" customHeight="1" x14ac:dyDescent="0.2">
      <c r="A59" s="211">
        <v>34486</v>
      </c>
      <c r="B59" s="212">
        <v>114.51783282412458</v>
      </c>
      <c r="C59" s="212">
        <v>78.012164852849395</v>
      </c>
      <c r="D59" s="212">
        <v>101.61900745187444</v>
      </c>
      <c r="E59" s="212">
        <v>107.8484642767727</v>
      </c>
      <c r="F59" s="212">
        <v>170.99377744943979</v>
      </c>
      <c r="G59" s="212">
        <v>108.0251176111795</v>
      </c>
      <c r="I59" s="213"/>
      <c r="J59" s="213"/>
      <c r="K59" s="213"/>
      <c r="L59" s="213"/>
      <c r="M59" s="213"/>
      <c r="N59" s="213"/>
    </row>
    <row r="60" spans="1:14" ht="12.75" customHeight="1" x14ac:dyDescent="0.2">
      <c r="A60" s="211">
        <v>34516</v>
      </c>
      <c r="B60" s="212">
        <v>114.67175635349885</v>
      </c>
      <c r="C60" s="212">
        <v>78.748476965163889</v>
      </c>
      <c r="D60" s="212">
        <v>94.543217798132858</v>
      </c>
      <c r="E60" s="212">
        <v>105.7809083028785</v>
      </c>
      <c r="F60" s="212">
        <v>167.02047805642371</v>
      </c>
      <c r="G60" s="212">
        <v>105.70241452109444</v>
      </c>
      <c r="I60" s="213"/>
      <c r="J60" s="213"/>
      <c r="K60" s="213"/>
      <c r="L60" s="213"/>
      <c r="M60" s="213"/>
      <c r="N60" s="213"/>
    </row>
    <row r="61" spans="1:14" ht="12.75" customHeight="1" x14ac:dyDescent="0.2">
      <c r="A61" s="211">
        <v>34547</v>
      </c>
      <c r="B61" s="212">
        <v>117.21764222579377</v>
      </c>
      <c r="C61" s="212">
        <v>80.408769568314</v>
      </c>
      <c r="D61" s="212">
        <v>96.698691839567545</v>
      </c>
      <c r="E61" s="212">
        <v>114.60625173242143</v>
      </c>
      <c r="F61" s="212">
        <v>171.70329519819262</v>
      </c>
      <c r="G61" s="212">
        <v>109.03713167403664</v>
      </c>
      <c r="I61" s="213"/>
      <c r="J61" s="213"/>
      <c r="K61" s="213"/>
      <c r="L61" s="213"/>
      <c r="M61" s="213"/>
      <c r="N61" s="213"/>
    </row>
    <row r="62" spans="1:14" ht="12.75" customHeight="1" x14ac:dyDescent="0.2">
      <c r="A62" s="211">
        <v>34578</v>
      </c>
      <c r="B62" s="212">
        <v>117.05237532802877</v>
      </c>
      <c r="C62" s="212">
        <v>86.612202870008176</v>
      </c>
      <c r="D62" s="212">
        <v>101.59510264930796</v>
      </c>
      <c r="E62" s="212">
        <v>125.83982347749405</v>
      </c>
      <c r="F62" s="212">
        <v>178.65656913597064</v>
      </c>
      <c r="G62" s="212">
        <v>113.44067709514933</v>
      </c>
      <c r="I62" s="213"/>
      <c r="J62" s="213"/>
      <c r="K62" s="213"/>
      <c r="L62" s="213"/>
      <c r="M62" s="213"/>
      <c r="N62" s="213"/>
    </row>
    <row r="63" spans="1:14" ht="12.75" customHeight="1" x14ac:dyDescent="0.2">
      <c r="A63" s="211">
        <v>34608</v>
      </c>
      <c r="B63" s="212">
        <v>116.92454427759758</v>
      </c>
      <c r="C63" s="212">
        <v>90.347565525077613</v>
      </c>
      <c r="D63" s="212">
        <v>103.77948113532487</v>
      </c>
      <c r="E63" s="212">
        <v>123.4432752477628</v>
      </c>
      <c r="F63" s="212">
        <v>180.92702593197981</v>
      </c>
      <c r="G63" s="212">
        <v>114.43973273428293</v>
      </c>
      <c r="I63" s="213"/>
      <c r="J63" s="213"/>
      <c r="K63" s="213"/>
      <c r="L63" s="213"/>
      <c r="M63" s="213"/>
      <c r="N63" s="213"/>
    </row>
    <row r="64" spans="1:14" ht="12.75" customHeight="1" x14ac:dyDescent="0.2">
      <c r="A64" s="211">
        <v>34639</v>
      </c>
      <c r="B64" s="212">
        <v>119.01926200158854</v>
      </c>
      <c r="C64" s="212">
        <v>92.195526506748919</v>
      </c>
      <c r="D64" s="212">
        <v>102.72194964793863</v>
      </c>
      <c r="E64" s="212">
        <v>137.5155051200625</v>
      </c>
      <c r="F64" s="212">
        <v>197.81354835229794</v>
      </c>
      <c r="G64" s="212">
        <v>118.40023884094472</v>
      </c>
      <c r="I64" s="213"/>
      <c r="J64" s="213"/>
      <c r="K64" s="213"/>
      <c r="L64" s="213"/>
      <c r="M64" s="213"/>
      <c r="N64" s="213"/>
    </row>
    <row r="65" spans="1:14" ht="12.75" customHeight="1" x14ac:dyDescent="0.2">
      <c r="A65" s="211">
        <v>34669</v>
      </c>
      <c r="B65" s="212">
        <v>113.31817014615137</v>
      </c>
      <c r="C65" s="212">
        <v>95.485322018016888</v>
      </c>
      <c r="D65" s="212">
        <v>105.42218153969711</v>
      </c>
      <c r="E65" s="212">
        <v>138.15356732494854</v>
      </c>
      <c r="F65" s="212">
        <v>208.17250748408972</v>
      </c>
      <c r="G65" s="212">
        <v>118.54227116224018</v>
      </c>
      <c r="I65" s="213"/>
      <c r="J65" s="213"/>
      <c r="K65" s="213"/>
      <c r="L65" s="213"/>
      <c r="M65" s="213"/>
      <c r="N65" s="213"/>
    </row>
    <row r="66" spans="1:14" ht="12.75" customHeight="1" x14ac:dyDescent="0.2">
      <c r="A66" s="211">
        <v>34700</v>
      </c>
      <c r="B66" s="212">
        <v>111.40263047187275</v>
      </c>
      <c r="C66" s="212">
        <v>102.98293498381557</v>
      </c>
      <c r="D66" s="212">
        <v>105.86144151325117</v>
      </c>
      <c r="E66" s="212">
        <v>129.81908179415666</v>
      </c>
      <c r="F66" s="212">
        <v>209.4496394318449</v>
      </c>
      <c r="G66" s="212">
        <v>118.16525941147681</v>
      </c>
      <c r="I66" s="213"/>
      <c r="J66" s="213"/>
      <c r="K66" s="213"/>
      <c r="L66" s="213"/>
      <c r="M66" s="213"/>
      <c r="N66" s="213"/>
    </row>
    <row r="67" spans="1:14" ht="12.75" customHeight="1" x14ac:dyDescent="0.2">
      <c r="A67" s="211">
        <v>34731</v>
      </c>
      <c r="B67" s="212">
        <v>118.80337359770527</v>
      </c>
      <c r="C67" s="212">
        <v>106.24998596751398</v>
      </c>
      <c r="D67" s="212">
        <v>104.97585244315454</v>
      </c>
      <c r="E67" s="212">
        <v>128.85578020781043</v>
      </c>
      <c r="F67" s="212">
        <v>204.48301519057486</v>
      </c>
      <c r="G67" s="212">
        <v>120.5479700846096</v>
      </c>
      <c r="I67" s="213"/>
      <c r="J67" s="213"/>
      <c r="K67" s="213"/>
      <c r="L67" s="213"/>
      <c r="M67" s="213"/>
      <c r="N67" s="213"/>
    </row>
    <row r="68" spans="1:14" ht="12.75" customHeight="1" x14ac:dyDescent="0.2">
      <c r="A68" s="211">
        <v>34759</v>
      </c>
      <c r="B68" s="212">
        <v>120.99801208392907</v>
      </c>
      <c r="C68" s="212">
        <v>107.24802431399105</v>
      </c>
      <c r="D68" s="212">
        <v>104.41722222912156</v>
      </c>
      <c r="E68" s="212">
        <v>130.83863036735551</v>
      </c>
      <c r="F68" s="212">
        <v>207.03727908608514</v>
      </c>
      <c r="G68" s="212">
        <v>121.79072423570472</v>
      </c>
      <c r="I68" s="213"/>
      <c r="J68" s="213"/>
      <c r="K68" s="213"/>
      <c r="L68" s="213"/>
      <c r="M68" s="213"/>
      <c r="N68" s="213"/>
    </row>
    <row r="69" spans="1:14" ht="12.75" customHeight="1" x14ac:dyDescent="0.2">
      <c r="A69" s="211">
        <v>34790</v>
      </c>
      <c r="B69" s="212">
        <v>117.2428410043692</v>
      </c>
      <c r="C69" s="212">
        <v>106.27642746455106</v>
      </c>
      <c r="D69" s="212">
        <v>105.30496488719463</v>
      </c>
      <c r="E69" s="212">
        <v>121.52061791810836</v>
      </c>
      <c r="F69" s="212">
        <v>194.40786315828419</v>
      </c>
      <c r="G69" s="212">
        <v>118.33465331326528</v>
      </c>
      <c r="I69" s="213"/>
      <c r="J69" s="213"/>
      <c r="K69" s="213"/>
      <c r="L69" s="213"/>
      <c r="M69" s="213"/>
      <c r="N69" s="213"/>
    </row>
    <row r="70" spans="1:14" ht="12.75" customHeight="1" x14ac:dyDescent="0.2">
      <c r="A70" s="211">
        <v>34820</v>
      </c>
      <c r="B70" s="212">
        <v>115.81385842945568</v>
      </c>
      <c r="C70" s="212">
        <v>106.54842909339884</v>
      </c>
      <c r="D70" s="212">
        <v>109.64255583513551</v>
      </c>
      <c r="E70" s="212">
        <v>119.46208605201699</v>
      </c>
      <c r="F70" s="212">
        <v>191.85359926277391</v>
      </c>
      <c r="G70" s="212">
        <v>118.58555918865207</v>
      </c>
      <c r="I70" s="213"/>
      <c r="J70" s="213"/>
      <c r="K70" s="213"/>
      <c r="L70" s="213"/>
      <c r="M70" s="213"/>
      <c r="N70" s="213"/>
    </row>
    <row r="71" spans="1:14" ht="12.75" customHeight="1" x14ac:dyDescent="0.2">
      <c r="A71" s="211">
        <v>34851</v>
      </c>
      <c r="B71" s="212">
        <v>113.0115038879995</v>
      </c>
      <c r="C71" s="212">
        <v>106.54842909339884</v>
      </c>
      <c r="D71" s="212">
        <v>116.57572190144487</v>
      </c>
      <c r="E71" s="212">
        <v>124.83816778898706</v>
      </c>
      <c r="F71" s="212">
        <v>198.9487767503025</v>
      </c>
      <c r="G71" s="212">
        <v>120.76694844862124</v>
      </c>
      <c r="I71" s="213"/>
      <c r="J71" s="213"/>
      <c r="K71" s="213"/>
      <c r="L71" s="213"/>
      <c r="M71" s="213"/>
      <c r="N71" s="213"/>
    </row>
    <row r="72" spans="1:14" ht="12.75" customHeight="1" x14ac:dyDescent="0.2">
      <c r="A72" s="211">
        <v>34881</v>
      </c>
      <c r="B72" s="212">
        <v>119.19202059537974</v>
      </c>
      <c r="C72" s="212">
        <v>112.73275764928452</v>
      </c>
      <c r="D72" s="212">
        <v>124.77114998321458</v>
      </c>
      <c r="E72" s="212">
        <v>129.90066843513256</v>
      </c>
      <c r="F72" s="212">
        <v>192.8469241110279</v>
      </c>
      <c r="G72" s="212">
        <v>126.45092731739484</v>
      </c>
      <c r="I72" s="213"/>
      <c r="J72" s="213"/>
      <c r="K72" s="213"/>
      <c r="L72" s="213"/>
      <c r="M72" s="213"/>
      <c r="N72" s="213"/>
    </row>
    <row r="73" spans="1:14" ht="12.75" customHeight="1" x14ac:dyDescent="0.2">
      <c r="A73" s="211">
        <v>34912</v>
      </c>
      <c r="B73" s="212">
        <v>118.36473366436022</v>
      </c>
      <c r="C73" s="212">
        <v>112.7205495438982</v>
      </c>
      <c r="D73" s="212">
        <v>122.29574287294756</v>
      </c>
      <c r="E73" s="212">
        <v>124.89793221867905</v>
      </c>
      <c r="F73" s="212">
        <v>184.190807576243</v>
      </c>
      <c r="G73" s="212">
        <v>124.15721875581983</v>
      </c>
      <c r="I73" s="213"/>
      <c r="J73" s="213"/>
      <c r="K73" s="213"/>
      <c r="L73" s="213"/>
      <c r="M73" s="213"/>
      <c r="N73" s="213"/>
    </row>
    <row r="74" spans="1:14" ht="12.75" customHeight="1" x14ac:dyDescent="0.2">
      <c r="A74" s="211">
        <v>34943</v>
      </c>
      <c r="B74" s="212">
        <v>123.12630462431784</v>
      </c>
      <c r="C74" s="212">
        <v>112.79132738181663</v>
      </c>
      <c r="D74" s="212">
        <v>127.77086993735239</v>
      </c>
      <c r="E74" s="212">
        <v>120.31917036586994</v>
      </c>
      <c r="F74" s="212">
        <v>165.88524965841916</v>
      </c>
      <c r="G74" s="212">
        <v>125.34004186537872</v>
      </c>
      <c r="I74" s="213"/>
      <c r="J74" s="213"/>
      <c r="K74" s="213"/>
      <c r="L74" s="213"/>
      <c r="M74" s="213"/>
      <c r="N74" s="213"/>
    </row>
    <row r="75" spans="1:14" ht="12.75" customHeight="1" x14ac:dyDescent="0.2">
      <c r="A75" s="211">
        <v>34973</v>
      </c>
      <c r="B75" s="212">
        <v>124.86667750349821</v>
      </c>
      <c r="C75" s="212">
        <v>113.88459729564644</v>
      </c>
      <c r="D75" s="212">
        <v>135.1823889970548</v>
      </c>
      <c r="E75" s="212">
        <v>125.75283636872989</v>
      </c>
      <c r="F75" s="212">
        <v>168.01380290467773</v>
      </c>
      <c r="G75" s="212">
        <v>129.06198763996323</v>
      </c>
      <c r="I75" s="213"/>
      <c r="J75" s="213"/>
      <c r="K75" s="213"/>
      <c r="L75" s="213"/>
      <c r="M75" s="213"/>
      <c r="N75" s="213"/>
    </row>
    <row r="76" spans="1:14" ht="12.75" customHeight="1" x14ac:dyDescent="0.2">
      <c r="A76" s="211">
        <v>35004</v>
      </c>
      <c r="B76" s="212">
        <v>121.50436768902205</v>
      </c>
      <c r="C76" s="212">
        <v>113.88459729564644</v>
      </c>
      <c r="D76" s="212">
        <v>135.4053793455318</v>
      </c>
      <c r="E76" s="212">
        <v>124.53471284096614</v>
      </c>
      <c r="F76" s="212">
        <v>170.00045260118574</v>
      </c>
      <c r="G76" s="212">
        <v>127.92573386569663</v>
      </c>
      <c r="I76" s="213"/>
      <c r="J76" s="213"/>
      <c r="K76" s="213"/>
      <c r="L76" s="213"/>
      <c r="M76" s="213"/>
      <c r="N76" s="213"/>
    </row>
    <row r="77" spans="1:14" ht="12.75" customHeight="1" x14ac:dyDescent="0.2">
      <c r="A77" s="211">
        <v>35034</v>
      </c>
      <c r="B77" s="212">
        <v>116.92298977870496</v>
      </c>
      <c r="C77" s="212">
        <v>113.39341867807072</v>
      </c>
      <c r="D77" s="212">
        <v>138.93755518471221</v>
      </c>
      <c r="E77" s="212">
        <v>119.1558455507738</v>
      </c>
      <c r="F77" s="212">
        <v>174.68326974295465</v>
      </c>
      <c r="G77" s="212">
        <v>126.78717392020941</v>
      </c>
      <c r="I77" s="213"/>
      <c r="J77" s="213"/>
      <c r="K77" s="213"/>
      <c r="L77" s="213"/>
      <c r="M77" s="213"/>
      <c r="N77" s="213"/>
    </row>
    <row r="78" spans="1:14" ht="12.75" customHeight="1" x14ac:dyDescent="0.2">
      <c r="A78" s="211">
        <v>35065</v>
      </c>
      <c r="B78" s="212">
        <v>124.07868900342936</v>
      </c>
      <c r="C78" s="212">
        <v>113.26833874193136</v>
      </c>
      <c r="D78" s="212">
        <v>139.95880322060214</v>
      </c>
      <c r="E78" s="212">
        <v>112.30929499987778</v>
      </c>
      <c r="F78" s="212">
        <v>177.80514783746722</v>
      </c>
      <c r="G78" s="212">
        <v>128.78381103609306</v>
      </c>
      <c r="I78" s="213"/>
      <c r="J78" s="213"/>
      <c r="K78" s="213"/>
      <c r="L78" s="213"/>
      <c r="M78" s="213"/>
      <c r="N78" s="213"/>
    </row>
    <row r="79" spans="1:14" ht="12.75" customHeight="1" x14ac:dyDescent="0.2">
      <c r="A79" s="211">
        <v>35096</v>
      </c>
      <c r="B79" s="212">
        <v>123.22827618111454</v>
      </c>
      <c r="C79" s="212">
        <v>113.02598629637221</v>
      </c>
      <c r="D79" s="212">
        <v>143.74166982937595</v>
      </c>
      <c r="E79" s="212">
        <v>108.81583689352459</v>
      </c>
      <c r="F79" s="212">
        <v>181.77844723048327</v>
      </c>
      <c r="G79" s="212">
        <v>129.26637079343027</v>
      </c>
      <c r="I79" s="213"/>
      <c r="J79" s="213"/>
      <c r="K79" s="213"/>
      <c r="L79" s="213"/>
      <c r="M79" s="213"/>
      <c r="N79" s="213"/>
    </row>
    <row r="80" spans="1:14" ht="12.75" customHeight="1" x14ac:dyDescent="0.2">
      <c r="A80" s="211">
        <v>35125</v>
      </c>
      <c r="B80" s="212">
        <v>126.75682321955651</v>
      </c>
      <c r="C80" s="212">
        <v>111.48572548952068</v>
      </c>
      <c r="D80" s="212">
        <v>146.16952438688912</v>
      </c>
      <c r="E80" s="212">
        <v>107.74067027699684</v>
      </c>
      <c r="F80" s="212">
        <v>183.19748272798898</v>
      </c>
      <c r="G80" s="212">
        <v>130.84240263559479</v>
      </c>
      <c r="I80" s="213"/>
      <c r="J80" s="213"/>
      <c r="K80" s="213"/>
      <c r="L80" s="213"/>
      <c r="M80" s="213"/>
      <c r="N80" s="213"/>
    </row>
    <row r="81" spans="1:14" ht="12.75" customHeight="1" x14ac:dyDescent="0.2">
      <c r="A81" s="211">
        <v>35156</v>
      </c>
      <c r="B81" s="212">
        <v>124.69207426813512</v>
      </c>
      <c r="C81" s="212">
        <v>111.27144729692404</v>
      </c>
      <c r="D81" s="212">
        <v>160.17244989335387</v>
      </c>
      <c r="E81" s="212">
        <v>116.16873503441253</v>
      </c>
      <c r="F81" s="212">
        <v>170.00045260118574</v>
      </c>
      <c r="G81" s="212">
        <v>134.13153165509038</v>
      </c>
      <c r="I81" s="213"/>
      <c r="J81" s="213"/>
      <c r="K81" s="213"/>
      <c r="L81" s="213"/>
      <c r="M81" s="213"/>
      <c r="N81" s="213"/>
    </row>
    <row r="82" spans="1:14" ht="12.75" customHeight="1" x14ac:dyDescent="0.2">
      <c r="A82" s="211">
        <v>35186</v>
      </c>
      <c r="B82" s="212">
        <v>130.66984425906699</v>
      </c>
      <c r="C82" s="212">
        <v>108.539133226799</v>
      </c>
      <c r="D82" s="212">
        <v>167.90577733028533</v>
      </c>
      <c r="E82" s="212">
        <v>116.58954253419667</v>
      </c>
      <c r="F82" s="212">
        <v>161.628143165902</v>
      </c>
      <c r="G82" s="212">
        <v>137.30381869728672</v>
      </c>
      <c r="I82" s="213"/>
      <c r="J82" s="213"/>
      <c r="K82" s="213"/>
      <c r="L82" s="213"/>
      <c r="M82" s="213"/>
      <c r="N82" s="213"/>
    </row>
    <row r="83" spans="1:14" ht="12.75" customHeight="1" x14ac:dyDescent="0.2">
      <c r="A83" s="211">
        <v>35217</v>
      </c>
      <c r="B83" s="212">
        <v>130.02553834152448</v>
      </c>
      <c r="C83" s="212">
        <v>108.78305200823655</v>
      </c>
      <c r="D83" s="212">
        <v>158.55548022169063</v>
      </c>
      <c r="E83" s="212">
        <v>110.20673863880552</v>
      </c>
      <c r="F83" s="212">
        <v>172.69662004644664</v>
      </c>
      <c r="G83" s="212">
        <v>134.4777511203028</v>
      </c>
      <c r="I83" s="213"/>
      <c r="J83" s="213"/>
      <c r="K83" s="213"/>
      <c r="L83" s="213"/>
      <c r="M83" s="213"/>
      <c r="N83" s="213"/>
    </row>
    <row r="84" spans="1:14" ht="12.75" customHeight="1" x14ac:dyDescent="0.2">
      <c r="A84" s="211">
        <v>35247</v>
      </c>
      <c r="B84" s="212">
        <v>129.73688639522322</v>
      </c>
      <c r="C84" s="212">
        <v>109.03533797221266</v>
      </c>
      <c r="D84" s="212">
        <v>153.04956688727432</v>
      </c>
      <c r="E84" s="212">
        <v>106.52674917093701</v>
      </c>
      <c r="F84" s="212">
        <v>181.77844723048327</v>
      </c>
      <c r="G84" s="212">
        <v>133.05937532643614</v>
      </c>
      <c r="I84" s="213"/>
      <c r="J84" s="213"/>
      <c r="K84" s="213"/>
      <c r="L84" s="213"/>
      <c r="M84" s="213"/>
      <c r="N84" s="213"/>
    </row>
    <row r="85" spans="1:14" ht="12.75" customHeight="1" x14ac:dyDescent="0.2">
      <c r="A85" s="211">
        <v>35278</v>
      </c>
      <c r="B85" s="212">
        <v>133.96579638669036</v>
      </c>
      <c r="C85" s="212">
        <v>108.23497903628048</v>
      </c>
      <c r="D85" s="212">
        <v>144.76892016968705</v>
      </c>
      <c r="E85" s="212">
        <v>110.77045387105701</v>
      </c>
      <c r="F85" s="212">
        <v>175.53469104145807</v>
      </c>
      <c r="G85" s="212">
        <v>132.29701631472045</v>
      </c>
      <c r="I85" s="213"/>
      <c r="J85" s="213"/>
      <c r="K85" s="213"/>
      <c r="L85" s="213"/>
      <c r="M85" s="213"/>
      <c r="N85" s="213"/>
    </row>
    <row r="86" spans="1:14" ht="12.75" customHeight="1" x14ac:dyDescent="0.2">
      <c r="A86" s="211">
        <v>35309</v>
      </c>
      <c r="B86" s="212">
        <v>133.31770232831033</v>
      </c>
      <c r="C86" s="212">
        <v>107.60003805611569</v>
      </c>
      <c r="D86" s="212">
        <v>126.45917316166548</v>
      </c>
      <c r="E86" s="212">
        <v>114.12477472618218</v>
      </c>
      <c r="F86" s="212">
        <v>169.14903130268232</v>
      </c>
      <c r="G86" s="212">
        <v>127.01088377895421</v>
      </c>
      <c r="I86" s="213"/>
      <c r="J86" s="213"/>
      <c r="K86" s="213"/>
      <c r="L86" s="213"/>
      <c r="M86" s="213"/>
      <c r="N86" s="213"/>
    </row>
    <row r="87" spans="1:14" ht="12.75" customHeight="1" x14ac:dyDescent="0.2">
      <c r="A87" s="211">
        <v>35339</v>
      </c>
      <c r="B87" s="212">
        <v>130.04164549969451</v>
      </c>
      <c r="C87" s="212">
        <v>108.539133226799</v>
      </c>
      <c r="D87" s="212">
        <v>120.04530749325365</v>
      </c>
      <c r="E87" s="212">
        <v>109.64692737466318</v>
      </c>
      <c r="F87" s="212">
        <v>157.79674732263652</v>
      </c>
      <c r="G87" s="212">
        <v>122.8373707992501</v>
      </c>
      <c r="I87" s="213"/>
      <c r="J87" s="213"/>
      <c r="K87" s="213"/>
      <c r="L87" s="213"/>
      <c r="M87" s="213"/>
      <c r="N87" s="213"/>
    </row>
    <row r="88" spans="1:14" ht="12.75" customHeight="1" x14ac:dyDescent="0.2">
      <c r="A88" s="211">
        <v>35370</v>
      </c>
      <c r="B88" s="212">
        <v>127.86597007195</v>
      </c>
      <c r="C88" s="212">
        <v>106.32692569277707</v>
      </c>
      <c r="D88" s="212">
        <v>114.22836319748168</v>
      </c>
      <c r="E88" s="212">
        <v>110.63986586414845</v>
      </c>
      <c r="F88" s="212">
        <v>152.12060533261365</v>
      </c>
      <c r="G88" s="212">
        <v>119.86360556347613</v>
      </c>
      <c r="I88" s="213"/>
      <c r="J88" s="213"/>
      <c r="K88" s="213"/>
      <c r="L88" s="213"/>
      <c r="M88" s="213"/>
      <c r="N88" s="213"/>
    </row>
    <row r="89" spans="1:14" ht="12.75" customHeight="1" x14ac:dyDescent="0.2">
      <c r="A89" s="211">
        <v>35400</v>
      </c>
      <c r="B89" s="212">
        <v>126.62132627096054</v>
      </c>
      <c r="C89" s="212">
        <v>106.59122142481429</v>
      </c>
      <c r="D89" s="212">
        <v>114.66659354193142</v>
      </c>
      <c r="E89" s="212">
        <v>111.02849793212374</v>
      </c>
      <c r="F89" s="212">
        <v>152.40441243211478</v>
      </c>
      <c r="G89" s="212">
        <v>119.67014591341209</v>
      </c>
      <c r="I89" s="213"/>
      <c r="J89" s="213"/>
      <c r="K89" s="213"/>
      <c r="L89" s="213"/>
      <c r="M89" s="213"/>
      <c r="N89" s="213"/>
    </row>
    <row r="90" spans="1:14" ht="12.75" customHeight="1" x14ac:dyDescent="0.2">
      <c r="A90" s="211">
        <v>35431</v>
      </c>
      <c r="B90" s="212">
        <v>121.5994119524298</v>
      </c>
      <c r="C90" s="212">
        <v>106.80040098827821</v>
      </c>
      <c r="D90" s="212">
        <v>114.7704970385585</v>
      </c>
      <c r="E90" s="212">
        <v>112.49027559176024</v>
      </c>
      <c r="F90" s="212">
        <v>151.69489468336189</v>
      </c>
      <c r="G90" s="212">
        <v>118.14539701915857</v>
      </c>
      <c r="I90" s="213"/>
      <c r="J90" s="213"/>
      <c r="K90" s="213"/>
      <c r="L90" s="213"/>
      <c r="M90" s="213"/>
      <c r="N90" s="213"/>
    </row>
    <row r="91" spans="1:14" ht="12.75" customHeight="1" x14ac:dyDescent="0.2">
      <c r="A91" s="211">
        <v>35462</v>
      </c>
      <c r="B91" s="212">
        <v>125.09040903269705</v>
      </c>
      <c r="C91" s="212">
        <v>105.717740481337</v>
      </c>
      <c r="D91" s="212">
        <v>115.59574836165642</v>
      </c>
      <c r="E91" s="212">
        <v>113.33451335358222</v>
      </c>
      <c r="F91" s="212">
        <v>153.39773728036877</v>
      </c>
      <c r="G91" s="212">
        <v>119.64242375322505</v>
      </c>
      <c r="I91" s="213"/>
      <c r="J91" s="213"/>
      <c r="K91" s="213"/>
      <c r="L91" s="213"/>
      <c r="M91" s="213"/>
      <c r="N91" s="213"/>
    </row>
    <row r="92" spans="1:14" ht="12.75" customHeight="1" x14ac:dyDescent="0.2">
      <c r="A92" s="211">
        <v>35490</v>
      </c>
      <c r="B92" s="212">
        <v>129.97273681236686</v>
      </c>
      <c r="C92" s="212">
        <v>105.34857452551381</v>
      </c>
      <c r="D92" s="212">
        <v>119.09098111857931</v>
      </c>
      <c r="E92" s="212">
        <v>111.41543463751091</v>
      </c>
      <c r="F92" s="212">
        <v>157.65484377288595</v>
      </c>
      <c r="G92" s="212">
        <v>122.25972580538351</v>
      </c>
      <c r="I92" s="213"/>
      <c r="J92" s="213"/>
      <c r="K92" s="213"/>
      <c r="L92" s="213"/>
      <c r="M92" s="213"/>
      <c r="N92" s="213"/>
    </row>
    <row r="93" spans="1:14" ht="12.75" customHeight="1" x14ac:dyDescent="0.2">
      <c r="A93" s="211">
        <v>35521</v>
      </c>
      <c r="B93" s="212">
        <v>129.84037115046914</v>
      </c>
      <c r="C93" s="212">
        <v>103.90772970894729</v>
      </c>
      <c r="D93" s="212">
        <v>119.578049318358</v>
      </c>
      <c r="E93" s="212">
        <v>111.93488833914438</v>
      </c>
      <c r="F93" s="212">
        <v>160.35101121814682</v>
      </c>
      <c r="G93" s="212">
        <v>122.3723660321827</v>
      </c>
      <c r="I93" s="213"/>
      <c r="J93" s="213"/>
      <c r="K93" s="213"/>
      <c r="L93" s="213"/>
      <c r="M93" s="213"/>
      <c r="N93" s="213"/>
    </row>
    <row r="94" spans="1:14" ht="12.75" customHeight="1" x14ac:dyDescent="0.2">
      <c r="A94" s="211">
        <v>35551</v>
      </c>
      <c r="B94" s="212">
        <v>131.62973839848348</v>
      </c>
      <c r="C94" s="212">
        <v>104.25547406757059</v>
      </c>
      <c r="D94" s="212">
        <v>116.09412474963047</v>
      </c>
      <c r="E94" s="212">
        <v>112.63633097550039</v>
      </c>
      <c r="F94" s="212">
        <v>158.08055442213768</v>
      </c>
      <c r="G94" s="212">
        <v>122.04210350084338</v>
      </c>
      <c r="I94" s="213"/>
      <c r="J94" s="213"/>
      <c r="K94" s="213"/>
      <c r="L94" s="213"/>
      <c r="M94" s="213"/>
      <c r="N94" s="213"/>
    </row>
    <row r="95" spans="1:14" ht="12.75" customHeight="1" x14ac:dyDescent="0.2">
      <c r="A95" s="211">
        <v>35582</v>
      </c>
      <c r="B95" s="212">
        <v>125.69141144828333</v>
      </c>
      <c r="C95" s="212">
        <v>103.58815153236594</v>
      </c>
      <c r="D95" s="212">
        <v>109.79851421565867</v>
      </c>
      <c r="E95" s="212">
        <v>109.63473727313398</v>
      </c>
      <c r="F95" s="212">
        <v>162.19575736490427</v>
      </c>
      <c r="G95" s="212">
        <v>118.03131984003696</v>
      </c>
      <c r="I95" s="213"/>
      <c r="J95" s="213"/>
      <c r="K95" s="213"/>
      <c r="L95" s="213"/>
      <c r="M95" s="213"/>
      <c r="N95" s="213"/>
    </row>
    <row r="96" spans="1:14" ht="12.75" customHeight="1" x14ac:dyDescent="0.2">
      <c r="A96" s="211">
        <v>35612</v>
      </c>
      <c r="B96" s="212">
        <v>123.84233488824738</v>
      </c>
      <c r="C96" s="212">
        <v>102.64994521137167</v>
      </c>
      <c r="D96" s="212">
        <v>105.16834861900304</v>
      </c>
      <c r="E96" s="212">
        <v>104.84784904541122</v>
      </c>
      <c r="F96" s="212">
        <v>159.21578282014227</v>
      </c>
      <c r="G96" s="212">
        <v>115.08264709017344</v>
      </c>
      <c r="I96" s="213"/>
      <c r="J96" s="213"/>
      <c r="K96" s="213"/>
      <c r="L96" s="213"/>
      <c r="M96" s="213"/>
      <c r="N96" s="213"/>
    </row>
    <row r="97" spans="1:14" ht="12.75" customHeight="1" x14ac:dyDescent="0.2">
      <c r="A97" s="211">
        <v>35643</v>
      </c>
      <c r="B97" s="212">
        <v>123.04113172114744</v>
      </c>
      <c r="C97" s="212">
        <v>102.41573410449061</v>
      </c>
      <c r="D97" s="212">
        <v>110.65696915590627</v>
      </c>
      <c r="E97" s="212">
        <v>104.67101953860659</v>
      </c>
      <c r="F97" s="212">
        <v>166.02715320816972</v>
      </c>
      <c r="G97" s="212">
        <v>116.7208743002127</v>
      </c>
      <c r="I97" s="213"/>
      <c r="J97" s="213"/>
      <c r="K97" s="213"/>
      <c r="L97" s="213"/>
      <c r="M97" s="213"/>
      <c r="N97" s="213"/>
    </row>
    <row r="98" spans="1:14" ht="12.75" customHeight="1" x14ac:dyDescent="0.2">
      <c r="A98" s="211">
        <v>35674</v>
      </c>
      <c r="B98" s="212">
        <v>120.30060047060189</v>
      </c>
      <c r="C98" s="212">
        <v>104.35874196436387</v>
      </c>
      <c r="D98" s="212">
        <v>109.898920007695</v>
      </c>
      <c r="E98" s="212">
        <v>108.66684291474739</v>
      </c>
      <c r="F98" s="212">
        <v>160.77672186739855</v>
      </c>
      <c r="G98" s="212">
        <v>116.07644398335472</v>
      </c>
      <c r="I98" s="213"/>
      <c r="J98" s="213"/>
      <c r="K98" s="213"/>
      <c r="L98" s="213"/>
      <c r="M98" s="213"/>
      <c r="N98" s="213"/>
    </row>
    <row r="99" spans="1:14" ht="12.75" customHeight="1" x14ac:dyDescent="0.2">
      <c r="A99" s="211">
        <v>35704</v>
      </c>
      <c r="B99" s="212">
        <v>118.83776374145876</v>
      </c>
      <c r="C99" s="212">
        <v>107.14941459879319</v>
      </c>
      <c r="D99" s="212">
        <v>111.05876850192467</v>
      </c>
      <c r="E99" s="212">
        <v>116.88296569865557</v>
      </c>
      <c r="F99" s="212">
        <v>161.91195026540314</v>
      </c>
      <c r="G99" s="212">
        <v>117.59636931420954</v>
      </c>
      <c r="I99" s="213"/>
      <c r="J99" s="213"/>
      <c r="K99" s="213"/>
      <c r="L99" s="213"/>
      <c r="M99" s="213"/>
      <c r="N99" s="213"/>
    </row>
    <row r="100" spans="1:14" ht="12.75" customHeight="1" x14ac:dyDescent="0.2">
      <c r="A100" s="211">
        <v>35735</v>
      </c>
      <c r="B100" s="212">
        <v>118.46253180457968</v>
      </c>
      <c r="C100" s="212">
        <v>107.6034250911771</v>
      </c>
      <c r="D100" s="212">
        <v>108.99426832277696</v>
      </c>
      <c r="E100" s="212">
        <v>123.26033342873328</v>
      </c>
      <c r="F100" s="212">
        <v>170.45454396038758</v>
      </c>
      <c r="G100" s="212">
        <v>118.50094144171896</v>
      </c>
      <c r="I100" s="213"/>
      <c r="J100" s="213"/>
      <c r="K100" s="213"/>
      <c r="L100" s="213"/>
      <c r="M100" s="213"/>
      <c r="N100" s="213"/>
    </row>
    <row r="101" spans="1:14" ht="12.75" customHeight="1" x14ac:dyDescent="0.2">
      <c r="A101" s="211">
        <v>35765</v>
      </c>
      <c r="B101" s="212">
        <v>109.85815157708207</v>
      </c>
      <c r="C101" s="212">
        <v>107.72584055563709</v>
      </c>
      <c r="D101" s="212">
        <v>107.62736756313095</v>
      </c>
      <c r="E101" s="212">
        <v>120.39873783943868</v>
      </c>
      <c r="F101" s="212">
        <v>174.96707684245578</v>
      </c>
      <c r="G101" s="212">
        <v>115.08287278983711</v>
      </c>
      <c r="I101" s="213"/>
      <c r="J101" s="213"/>
      <c r="K101" s="213"/>
      <c r="L101" s="213"/>
      <c r="M101" s="213"/>
      <c r="N101" s="213"/>
    </row>
    <row r="102" spans="1:14" ht="12.75" customHeight="1" x14ac:dyDescent="0.2">
      <c r="A102" s="211">
        <v>35796</v>
      </c>
      <c r="B102" s="212">
        <v>107.23487329155262</v>
      </c>
      <c r="C102" s="212">
        <v>107.5741332834539</v>
      </c>
      <c r="D102" s="212">
        <v>106.34801873347052</v>
      </c>
      <c r="E102" s="212">
        <v>124.59143247503803</v>
      </c>
      <c r="F102" s="212">
        <v>163.89859996191115</v>
      </c>
      <c r="G102" s="212">
        <v>113.59482655349723</v>
      </c>
      <c r="I102" s="213"/>
      <c r="J102" s="213"/>
      <c r="K102" s="213"/>
      <c r="L102" s="213"/>
      <c r="M102" s="213"/>
      <c r="N102" s="213"/>
    </row>
    <row r="103" spans="1:14" ht="12.75" customHeight="1" x14ac:dyDescent="0.2">
      <c r="A103" s="211">
        <v>35827</v>
      </c>
      <c r="B103" s="212">
        <v>108.32011890010904</v>
      </c>
      <c r="C103" s="212">
        <v>105.58857710685376</v>
      </c>
      <c r="D103" s="212">
        <v>106.31167148965163</v>
      </c>
      <c r="E103" s="212">
        <v>127.30448409773632</v>
      </c>
      <c r="F103" s="212">
        <v>152.12060533261365</v>
      </c>
      <c r="G103" s="212">
        <v>113.1637615738629</v>
      </c>
      <c r="I103" s="213"/>
      <c r="J103" s="213"/>
      <c r="K103" s="213"/>
      <c r="L103" s="213"/>
      <c r="M103" s="213"/>
      <c r="N103" s="213"/>
    </row>
    <row r="104" spans="1:14" ht="12.75" customHeight="1" x14ac:dyDescent="0.2">
      <c r="A104" s="211">
        <v>35855</v>
      </c>
      <c r="B104" s="212">
        <v>109.30048114033033</v>
      </c>
      <c r="C104" s="212">
        <v>102.55422140475987</v>
      </c>
      <c r="D104" s="212">
        <v>106.89722065873201</v>
      </c>
      <c r="E104" s="212">
        <v>130.98447685470168</v>
      </c>
      <c r="F104" s="212">
        <v>139.63309295456327</v>
      </c>
      <c r="G104" s="212">
        <v>112.77497331168867</v>
      </c>
      <c r="I104" s="213"/>
      <c r="J104" s="213"/>
      <c r="K104" s="213"/>
      <c r="L104" s="213"/>
      <c r="M104" s="213"/>
      <c r="N104" s="213"/>
    </row>
    <row r="105" spans="1:14" ht="12.75" customHeight="1" x14ac:dyDescent="0.2">
      <c r="A105" s="211">
        <v>35886</v>
      </c>
      <c r="B105" s="212">
        <v>108.22081999590732</v>
      </c>
      <c r="C105" s="212">
        <v>102.19790374283713</v>
      </c>
      <c r="D105" s="212">
        <v>103.00933670135862</v>
      </c>
      <c r="E105" s="212">
        <v>132.98249046226582</v>
      </c>
      <c r="F105" s="212">
        <v>137.50453970830466</v>
      </c>
      <c r="G105" s="212">
        <v>111.4146091835829</v>
      </c>
      <c r="I105" s="213"/>
      <c r="J105" s="213"/>
      <c r="K105" s="213"/>
      <c r="L105" s="213"/>
      <c r="M105" s="213"/>
      <c r="N105" s="213"/>
    </row>
    <row r="106" spans="1:14" ht="12.75" customHeight="1" x14ac:dyDescent="0.2">
      <c r="A106" s="211">
        <v>35916</v>
      </c>
      <c r="B106" s="212">
        <v>104.11137564605922</v>
      </c>
      <c r="C106" s="212">
        <v>100.24221330458785</v>
      </c>
      <c r="D106" s="212">
        <v>102.00041160830844</v>
      </c>
      <c r="E106" s="212">
        <v>139.27977471400436</v>
      </c>
      <c r="F106" s="212">
        <v>130.97697641977834</v>
      </c>
      <c r="G106" s="212">
        <v>109.80690508129406</v>
      </c>
      <c r="I106" s="213"/>
      <c r="J106" s="213"/>
      <c r="K106" s="213"/>
      <c r="L106" s="213"/>
      <c r="M106" s="213"/>
      <c r="N106" s="213"/>
    </row>
    <row r="107" spans="1:14" ht="12.75" customHeight="1" x14ac:dyDescent="0.2">
      <c r="A107" s="211">
        <v>35947</v>
      </c>
      <c r="B107" s="212">
        <v>104.77627650215263</v>
      </c>
      <c r="C107" s="212">
        <v>98.665235384713682</v>
      </c>
      <c r="D107" s="212">
        <v>100.21059504452165</v>
      </c>
      <c r="E107" s="212">
        <v>129.18324799398607</v>
      </c>
      <c r="F107" s="212">
        <v>114.94187529796365</v>
      </c>
      <c r="G107" s="212">
        <v>106.70169754436481</v>
      </c>
      <c r="I107" s="213"/>
      <c r="J107" s="213"/>
      <c r="K107" s="213"/>
      <c r="L107" s="213"/>
      <c r="M107" s="213"/>
      <c r="N107" s="213"/>
    </row>
    <row r="108" spans="1:14" ht="12.75" customHeight="1" x14ac:dyDescent="0.2">
      <c r="A108" s="211">
        <v>35977</v>
      </c>
      <c r="B108" s="212">
        <v>100.80100854702275</v>
      </c>
      <c r="C108" s="212">
        <v>98.549179477986613</v>
      </c>
      <c r="D108" s="212">
        <v>97.532267874277693</v>
      </c>
      <c r="E108" s="212">
        <v>129.3302684718287</v>
      </c>
      <c r="F108" s="212">
        <v>122.60466698449457</v>
      </c>
      <c r="G108" s="212">
        <v>105.14836140872237</v>
      </c>
      <c r="I108" s="213"/>
      <c r="J108" s="213"/>
      <c r="K108" s="213"/>
      <c r="L108" s="213"/>
      <c r="M108" s="213"/>
      <c r="N108" s="213"/>
    </row>
    <row r="109" spans="1:14" ht="12.75" customHeight="1" x14ac:dyDescent="0.2">
      <c r="A109" s="211">
        <v>36008</v>
      </c>
      <c r="B109" s="212">
        <v>99.481504353282247</v>
      </c>
      <c r="C109" s="212">
        <v>98.718712432897831</v>
      </c>
      <c r="D109" s="212">
        <v>91.711289225359636</v>
      </c>
      <c r="E109" s="212">
        <v>128.20709624311212</v>
      </c>
      <c r="F109" s="212">
        <v>120.3342101884854</v>
      </c>
      <c r="G109" s="212">
        <v>102.81605853113426</v>
      </c>
      <c r="I109" s="213"/>
      <c r="J109" s="213"/>
      <c r="K109" s="213"/>
      <c r="L109" s="213"/>
      <c r="M109" s="213"/>
      <c r="N109" s="213"/>
    </row>
    <row r="110" spans="1:14" ht="12.75" customHeight="1" x14ac:dyDescent="0.2">
      <c r="A110" s="211">
        <v>36039</v>
      </c>
      <c r="B110" s="212">
        <v>99.299966002932067</v>
      </c>
      <c r="C110" s="212">
        <v>95.890400278443749</v>
      </c>
      <c r="D110" s="212">
        <v>91.490690892641098</v>
      </c>
      <c r="E110" s="212">
        <v>130.09711435742148</v>
      </c>
      <c r="F110" s="212">
        <v>102.58336614695926</v>
      </c>
      <c r="G110" s="212">
        <v>101.20656320850202</v>
      </c>
      <c r="I110" s="213"/>
      <c r="J110" s="213"/>
      <c r="K110" s="213"/>
      <c r="L110" s="213"/>
      <c r="M110" s="213"/>
      <c r="N110" s="213"/>
    </row>
    <row r="111" spans="1:14" ht="12.75" customHeight="1" x14ac:dyDescent="0.2">
      <c r="A111" s="211">
        <v>36069</v>
      </c>
      <c r="B111" s="212">
        <v>99.297378080297548</v>
      </c>
      <c r="C111" s="212">
        <v>92.941814598069428</v>
      </c>
      <c r="D111" s="212">
        <v>97.867000359221748</v>
      </c>
      <c r="E111" s="212">
        <v>130.06698322458291</v>
      </c>
      <c r="F111" s="212">
        <v>105.89874908204078</v>
      </c>
      <c r="G111" s="212">
        <v>102.67661820181524</v>
      </c>
      <c r="I111" s="213"/>
      <c r="J111" s="213"/>
      <c r="K111" s="213"/>
      <c r="L111" s="213"/>
      <c r="M111" s="213"/>
      <c r="N111" s="213"/>
    </row>
    <row r="112" spans="1:14" ht="12.75" customHeight="1" x14ac:dyDescent="0.2">
      <c r="A112" s="211">
        <v>36100</v>
      </c>
      <c r="B112" s="212">
        <v>98.059178400089181</v>
      </c>
      <c r="C112" s="212">
        <v>92.941814598069428</v>
      </c>
      <c r="D112" s="212">
        <v>98.778005535930888</v>
      </c>
      <c r="E112" s="212">
        <v>130.17942175910798</v>
      </c>
      <c r="F112" s="212">
        <v>114.39453303464001</v>
      </c>
      <c r="G112" s="212">
        <v>103.12246249823558</v>
      </c>
      <c r="I112" s="213"/>
      <c r="J112" s="213"/>
      <c r="K112" s="213"/>
      <c r="L112" s="213"/>
      <c r="M112" s="213"/>
      <c r="N112" s="213"/>
    </row>
    <row r="113" spans="1:14" ht="12.75" customHeight="1" x14ac:dyDescent="0.2">
      <c r="A113" s="211">
        <v>36130</v>
      </c>
      <c r="B113" s="212">
        <v>99.540486159588468</v>
      </c>
      <c r="C113" s="212">
        <v>93.075696187524542</v>
      </c>
      <c r="D113" s="212">
        <v>96.631863956426216</v>
      </c>
      <c r="E113" s="212">
        <v>126.6873707919479</v>
      </c>
      <c r="F113" s="212">
        <v>114.6129170689964</v>
      </c>
      <c r="G113" s="212">
        <v>102.59811902831427</v>
      </c>
      <c r="I113" s="213"/>
      <c r="J113" s="213"/>
      <c r="K113" s="213"/>
      <c r="L113" s="213"/>
      <c r="M113" s="213"/>
      <c r="N113" s="213"/>
    </row>
    <row r="114" spans="1:14" ht="12.75" customHeight="1" x14ac:dyDescent="0.2">
      <c r="A114" s="211">
        <v>36161</v>
      </c>
      <c r="B114" s="212">
        <v>97.672420083008774</v>
      </c>
      <c r="C114" s="212">
        <v>93.040044822068452</v>
      </c>
      <c r="D114" s="212">
        <v>97.17377772188118</v>
      </c>
      <c r="E114" s="212">
        <v>119.34164732070549</v>
      </c>
      <c r="F114" s="212">
        <v>115.08377884771421</v>
      </c>
      <c r="G114" s="212">
        <v>101.08434764562099</v>
      </c>
      <c r="I114" s="213"/>
      <c r="J114" s="213"/>
      <c r="K114" s="213"/>
      <c r="L114" s="213"/>
      <c r="M114" s="213"/>
      <c r="N114" s="213"/>
    </row>
    <row r="115" spans="1:14" ht="12.75" customHeight="1" x14ac:dyDescent="0.2">
      <c r="A115" s="211">
        <v>36192</v>
      </c>
      <c r="B115" s="212">
        <v>98.089816523474553</v>
      </c>
      <c r="C115" s="212">
        <v>91.809672286040694</v>
      </c>
      <c r="D115" s="212">
        <v>93.615287978641703</v>
      </c>
      <c r="E115" s="212">
        <v>105.85264945502497</v>
      </c>
      <c r="F115" s="212">
        <v>96.778220929890395</v>
      </c>
      <c r="G115" s="212">
        <v>96.827206288722195</v>
      </c>
      <c r="I115" s="213"/>
      <c r="J115" s="213"/>
      <c r="K115" s="213"/>
      <c r="L115" s="213"/>
      <c r="M115" s="213"/>
      <c r="N115" s="213"/>
    </row>
    <row r="116" spans="1:14" ht="12.75" customHeight="1" x14ac:dyDescent="0.2">
      <c r="A116" s="211">
        <v>36220</v>
      </c>
      <c r="B116" s="212">
        <v>98.42712902559785</v>
      </c>
      <c r="C116" s="212">
        <v>90.748832704924126</v>
      </c>
      <c r="D116" s="212">
        <v>93.993373638298266</v>
      </c>
      <c r="E116" s="212">
        <v>96.519528717597652</v>
      </c>
      <c r="F116" s="212">
        <v>85.425936949844584</v>
      </c>
      <c r="G116" s="212">
        <v>94.728910269751481</v>
      </c>
      <c r="I116" s="213"/>
      <c r="J116" s="213"/>
      <c r="K116" s="213"/>
      <c r="L116" s="213"/>
      <c r="M116" s="213"/>
      <c r="N116" s="213"/>
    </row>
    <row r="117" spans="1:14" ht="12.75" customHeight="1" x14ac:dyDescent="0.2">
      <c r="A117" s="211">
        <v>36251</v>
      </c>
      <c r="B117" s="212">
        <v>95.936722137998657</v>
      </c>
      <c r="C117" s="212">
        <v>85.794149296054101</v>
      </c>
      <c r="D117" s="212">
        <v>91.816641774952302</v>
      </c>
      <c r="E117" s="212">
        <v>100.54486410675885</v>
      </c>
      <c r="F117" s="212">
        <v>76.911723964810236</v>
      </c>
      <c r="G117" s="212">
        <v>92.398723577288038</v>
      </c>
      <c r="I117" s="213"/>
      <c r="J117" s="213"/>
      <c r="K117" s="213"/>
      <c r="L117" s="213"/>
      <c r="M117" s="213"/>
      <c r="N117" s="213"/>
    </row>
    <row r="118" spans="1:14" ht="12.75" customHeight="1" x14ac:dyDescent="0.2">
      <c r="A118" s="211">
        <v>36281</v>
      </c>
      <c r="B118" s="212">
        <v>96.147126646681329</v>
      </c>
      <c r="C118" s="212">
        <v>84.885016987120721</v>
      </c>
      <c r="D118" s="212">
        <v>90.337636172710361</v>
      </c>
      <c r="E118" s="212">
        <v>96.785896746734238</v>
      </c>
      <c r="F118" s="212">
        <v>81.594541106579129</v>
      </c>
      <c r="G118" s="212">
        <v>91.723397838308273</v>
      </c>
      <c r="I118" s="213"/>
      <c r="J118" s="213"/>
      <c r="K118" s="213"/>
      <c r="L118" s="213"/>
      <c r="M118" s="213"/>
      <c r="N118" s="213"/>
    </row>
    <row r="119" spans="1:14" ht="12.75" customHeight="1" x14ac:dyDescent="0.2">
      <c r="A119" s="211">
        <v>36312</v>
      </c>
      <c r="B119" s="212">
        <v>96.67286237342158</v>
      </c>
      <c r="C119" s="212">
        <v>84.563776760026343</v>
      </c>
      <c r="D119" s="212">
        <v>91.407796752830066</v>
      </c>
      <c r="E119" s="212">
        <v>86.617665065244481</v>
      </c>
      <c r="F119" s="212">
        <v>85.625891951765865</v>
      </c>
      <c r="G119" s="212">
        <v>90.993435549283362</v>
      </c>
      <c r="I119" s="213"/>
      <c r="J119" s="213"/>
      <c r="K119" s="213"/>
      <c r="L119" s="213"/>
      <c r="M119" s="213"/>
      <c r="N119" s="213"/>
    </row>
    <row r="120" spans="1:14" ht="12.75" customHeight="1" x14ac:dyDescent="0.2">
      <c r="A120" s="211">
        <v>36342</v>
      </c>
      <c r="B120" s="212">
        <v>97.777475497773352</v>
      </c>
      <c r="C120" s="212">
        <v>83.138506112335335</v>
      </c>
      <c r="D120" s="212">
        <v>88.091247843771612</v>
      </c>
      <c r="E120" s="212">
        <v>77.933380160963864</v>
      </c>
      <c r="F120" s="212">
        <v>76.331209443103376</v>
      </c>
      <c r="G120" s="212">
        <v>88.338039172421361</v>
      </c>
      <c r="I120" s="213"/>
      <c r="J120" s="213"/>
      <c r="K120" s="213"/>
      <c r="L120" s="213"/>
      <c r="M120" s="213"/>
      <c r="N120" s="213"/>
    </row>
    <row r="121" spans="1:14" ht="12.75" customHeight="1" x14ac:dyDescent="0.2">
      <c r="A121" s="211">
        <v>36373</v>
      </c>
      <c r="B121" s="212">
        <v>100.27932280343546</v>
      </c>
      <c r="C121" s="212">
        <v>83.12068042960729</v>
      </c>
      <c r="D121" s="212">
        <v>90.647784125878943</v>
      </c>
      <c r="E121" s="212">
        <v>83.478128112109005</v>
      </c>
      <c r="F121" s="212">
        <v>81.594541106579129</v>
      </c>
      <c r="G121" s="212">
        <v>91.062303596850995</v>
      </c>
      <c r="I121" s="213"/>
      <c r="J121" s="213"/>
      <c r="K121" s="213"/>
      <c r="L121" s="213"/>
      <c r="M121" s="213"/>
      <c r="N121" s="213"/>
    </row>
    <row r="122" spans="1:14" ht="12.75" customHeight="1" x14ac:dyDescent="0.2">
      <c r="A122" s="211">
        <v>36404</v>
      </c>
      <c r="B122" s="212">
        <v>98.653363688363498</v>
      </c>
      <c r="C122" s="212">
        <v>83.842520358787823</v>
      </c>
      <c r="D122" s="212">
        <v>89.946240645223924</v>
      </c>
      <c r="E122" s="212">
        <v>85.987823531034422</v>
      </c>
      <c r="F122" s="212">
        <v>94.649667683631804</v>
      </c>
      <c r="G122" s="212">
        <v>91.725113367333137</v>
      </c>
      <c r="I122" s="213"/>
      <c r="J122" s="213"/>
      <c r="K122" s="213"/>
      <c r="L122" s="213"/>
      <c r="M122" s="213"/>
      <c r="N122" s="213"/>
    </row>
    <row r="123" spans="1:14" ht="12.75" customHeight="1" x14ac:dyDescent="0.2">
      <c r="A123" s="211">
        <v>36434</v>
      </c>
      <c r="B123" s="212">
        <v>98.337832079112857</v>
      </c>
      <c r="C123" s="212">
        <v>83.994227630970997</v>
      </c>
      <c r="D123" s="212">
        <v>87.574094394188236</v>
      </c>
      <c r="E123" s="212">
        <v>84.455423381419578</v>
      </c>
      <c r="F123" s="212">
        <v>96.068703181137522</v>
      </c>
      <c r="G123" s="212">
        <v>90.882541809761946</v>
      </c>
      <c r="I123" s="213"/>
      <c r="J123" s="213"/>
      <c r="K123" s="213"/>
      <c r="L123" s="213"/>
      <c r="M123" s="213"/>
      <c r="N123" s="213"/>
    </row>
    <row r="124" spans="1:14" ht="12.75" customHeight="1" x14ac:dyDescent="0.2">
      <c r="A124" s="211">
        <v>36465</v>
      </c>
      <c r="B124" s="212">
        <v>98.853644911449166</v>
      </c>
      <c r="C124" s="212">
        <v>84.717779423015998</v>
      </c>
      <c r="D124" s="212">
        <v>87.007087454475879</v>
      </c>
      <c r="E124" s="212">
        <v>81.923500102154847</v>
      </c>
      <c r="F124" s="212">
        <v>92.237307337872068</v>
      </c>
      <c r="G124" s="212">
        <v>90.394276040306309</v>
      </c>
      <c r="I124" s="213"/>
      <c r="J124" s="213"/>
      <c r="K124" s="213"/>
      <c r="L124" s="213"/>
      <c r="M124" s="213"/>
      <c r="N124" s="213"/>
    </row>
    <row r="125" spans="1:14" ht="12.75" customHeight="1" x14ac:dyDescent="0.2">
      <c r="A125" s="211">
        <v>36495</v>
      </c>
      <c r="B125" s="212">
        <v>96.514765021397835</v>
      </c>
      <c r="C125" s="212">
        <v>86.270750081211375</v>
      </c>
      <c r="D125" s="212">
        <v>85.262935646795782</v>
      </c>
      <c r="E125" s="212">
        <v>79.395080413423969</v>
      </c>
      <c r="F125" s="212">
        <v>85.284033400094017</v>
      </c>
      <c r="G125" s="212">
        <v>88.509689839167024</v>
      </c>
      <c r="I125" s="213"/>
      <c r="J125" s="213"/>
      <c r="K125" s="213"/>
      <c r="L125" s="213"/>
      <c r="M125" s="213"/>
      <c r="N125" s="213"/>
    </row>
    <row r="126" spans="1:14" ht="12.75" customHeight="1" x14ac:dyDescent="0.2">
      <c r="A126" s="211">
        <v>36526</v>
      </c>
      <c r="B126" s="212">
        <v>93.265115589764378</v>
      </c>
      <c r="C126" s="212">
        <v>88.80741738148393</v>
      </c>
      <c r="D126" s="212">
        <v>87.593902890290991</v>
      </c>
      <c r="E126" s="212">
        <v>77.465845201764864</v>
      </c>
      <c r="F126" s="212">
        <v>79.634920657642624</v>
      </c>
      <c r="G126" s="212">
        <v>87.758605954575344</v>
      </c>
      <c r="I126" s="213"/>
      <c r="J126" s="213"/>
      <c r="K126" s="213"/>
      <c r="L126" s="213"/>
      <c r="M126" s="213"/>
      <c r="N126" s="213"/>
    </row>
    <row r="127" spans="1:14" ht="12.75" customHeight="1" x14ac:dyDescent="0.2">
      <c r="A127" s="211">
        <v>36557</v>
      </c>
      <c r="B127" s="212">
        <v>98.528212041116475</v>
      </c>
      <c r="C127" s="212">
        <v>89.228474109034309</v>
      </c>
      <c r="D127" s="212">
        <v>88.756128610263005</v>
      </c>
      <c r="E127" s="212">
        <v>73.741092109626337</v>
      </c>
      <c r="F127" s="212">
        <v>75.066977818052806</v>
      </c>
      <c r="G127" s="212">
        <v>89.115383865582388</v>
      </c>
      <c r="I127" s="213"/>
      <c r="J127" s="213"/>
      <c r="K127" s="213"/>
      <c r="L127" s="213"/>
      <c r="M127" s="213"/>
      <c r="N127" s="213"/>
    </row>
    <row r="128" spans="1:14" ht="12.75" customHeight="1" x14ac:dyDescent="0.2">
      <c r="A128" s="211">
        <v>36586</v>
      </c>
      <c r="B128" s="212">
        <v>99.477051051030486</v>
      </c>
      <c r="C128" s="212">
        <v>88.550342289389448</v>
      </c>
      <c r="D128" s="212">
        <v>87.324797431112103</v>
      </c>
      <c r="E128" s="212">
        <v>75.245394894046257</v>
      </c>
      <c r="F128" s="212">
        <v>72.938424571794215</v>
      </c>
      <c r="G128" s="212">
        <v>89.002235327651178</v>
      </c>
      <c r="I128" s="213"/>
      <c r="J128" s="213"/>
      <c r="K128" s="213"/>
      <c r="L128" s="213"/>
      <c r="M128" s="213"/>
      <c r="N128" s="213"/>
    </row>
    <row r="129" spans="1:14" ht="12.75" customHeight="1" x14ac:dyDescent="0.2">
      <c r="A129" s="211">
        <v>36617</v>
      </c>
      <c r="B129" s="212">
        <v>96.865095473177533</v>
      </c>
      <c r="C129" s="212">
        <v>88.9508757335892</v>
      </c>
      <c r="D129" s="212">
        <v>86.793179774855844</v>
      </c>
      <c r="E129" s="212">
        <v>77.271926263227471</v>
      </c>
      <c r="F129" s="212">
        <v>85.425936949844584</v>
      </c>
      <c r="G129" s="212">
        <v>89.205564172237416</v>
      </c>
      <c r="I129" s="213"/>
      <c r="J129" s="213"/>
      <c r="K129" s="213"/>
      <c r="L129" s="213"/>
      <c r="M129" s="213"/>
      <c r="N129" s="213"/>
    </row>
    <row r="130" spans="1:14" ht="12.75" customHeight="1" x14ac:dyDescent="0.2">
      <c r="A130" s="211">
        <v>36647</v>
      </c>
      <c r="B130" s="212">
        <v>96.822082311249304</v>
      </c>
      <c r="C130" s="212">
        <v>89.738400816340175</v>
      </c>
      <c r="D130" s="212">
        <v>87.075602063871585</v>
      </c>
      <c r="E130" s="212">
        <v>70.03406743806471</v>
      </c>
      <c r="F130" s="212">
        <v>98.055352877645547</v>
      </c>
      <c r="G130" s="212">
        <v>89.285161924240413</v>
      </c>
      <c r="I130" s="213"/>
      <c r="J130" s="213"/>
      <c r="K130" s="213"/>
      <c r="L130" s="213"/>
      <c r="M130" s="213"/>
      <c r="N130" s="213"/>
    </row>
    <row r="131" spans="1:14" ht="12.75" customHeight="1" x14ac:dyDescent="0.2">
      <c r="A131" s="211">
        <v>36678</v>
      </c>
      <c r="B131" s="212">
        <v>97.445185445114276</v>
      </c>
      <c r="C131" s="212">
        <v>93.890318218511226</v>
      </c>
      <c r="D131" s="212">
        <v>83.222593999597649</v>
      </c>
      <c r="E131" s="212">
        <v>67.407835734878034</v>
      </c>
      <c r="F131" s="212">
        <v>118.7732711412291</v>
      </c>
      <c r="G131" s="212">
        <v>90.27406254611391</v>
      </c>
      <c r="I131" s="213"/>
      <c r="J131" s="213"/>
      <c r="K131" s="213"/>
      <c r="L131" s="213"/>
      <c r="M131" s="213"/>
      <c r="N131" s="213"/>
    </row>
    <row r="132" spans="1:14" ht="12.75" customHeight="1" x14ac:dyDescent="0.2">
      <c r="A132" s="211">
        <v>36708</v>
      </c>
      <c r="B132" s="212">
        <v>96.7157704314847</v>
      </c>
      <c r="C132" s="212">
        <v>97.213279216947186</v>
      </c>
      <c r="D132" s="212">
        <v>79.246511142608355</v>
      </c>
      <c r="E132" s="212">
        <v>66.99292982628188</v>
      </c>
      <c r="F132" s="212">
        <v>136.65311840980127</v>
      </c>
      <c r="G132" s="212">
        <v>90.729391806482397</v>
      </c>
      <c r="I132" s="213"/>
      <c r="J132" s="213"/>
      <c r="K132" s="213"/>
      <c r="L132" s="213"/>
      <c r="M132" s="213"/>
      <c r="N132" s="213"/>
    </row>
    <row r="133" spans="1:14" ht="12.75" customHeight="1" x14ac:dyDescent="0.2">
      <c r="A133" s="211">
        <v>36739</v>
      </c>
      <c r="B133" s="212">
        <v>94.744729816802305</v>
      </c>
      <c r="C133" s="212">
        <v>97.855759671135942</v>
      </c>
      <c r="D133" s="212">
        <v>78.368307584881705</v>
      </c>
      <c r="E133" s="212">
        <v>65.342014519894661</v>
      </c>
      <c r="F133" s="212">
        <v>148.1473059395976</v>
      </c>
      <c r="G133" s="212">
        <v>90.509427495401496</v>
      </c>
      <c r="I133" s="213"/>
      <c r="J133" s="213"/>
      <c r="K133" s="213"/>
      <c r="L133" s="213"/>
      <c r="M133" s="213"/>
      <c r="N133" s="213"/>
    </row>
    <row r="134" spans="1:14" ht="12.75" customHeight="1" x14ac:dyDescent="0.2">
      <c r="A134" s="211">
        <v>36770</v>
      </c>
      <c r="B134" s="212">
        <v>93.41424740974756</v>
      </c>
      <c r="C134" s="212">
        <v>100.16412408274256</v>
      </c>
      <c r="D134" s="212">
        <v>81.37990259866595</v>
      </c>
      <c r="E134" s="212">
        <v>60.669146439363011</v>
      </c>
      <c r="F134" s="212">
        <v>142.32926039982411</v>
      </c>
      <c r="G134" s="212">
        <v>90.17053173474369</v>
      </c>
      <c r="I134" s="213"/>
      <c r="J134" s="213"/>
      <c r="K134" s="213"/>
      <c r="L134" s="213"/>
      <c r="M134" s="213"/>
      <c r="N134" s="213"/>
    </row>
    <row r="135" spans="1:14" ht="12.75" customHeight="1" x14ac:dyDescent="0.2">
      <c r="A135" s="211">
        <v>36800</v>
      </c>
      <c r="B135" s="212">
        <v>92.740766560078882</v>
      </c>
      <c r="C135" s="212">
        <v>102.859413875014</v>
      </c>
      <c r="D135" s="212">
        <v>85.493243388089795</v>
      </c>
      <c r="E135" s="212">
        <v>58.342981938974503</v>
      </c>
      <c r="F135" s="212">
        <v>152.5334156591606</v>
      </c>
      <c r="G135" s="212">
        <v>91.911323856713693</v>
      </c>
      <c r="I135" s="213"/>
      <c r="J135" s="213"/>
      <c r="K135" s="213"/>
      <c r="L135" s="213"/>
      <c r="M135" s="213"/>
      <c r="N135" s="213"/>
    </row>
    <row r="136" spans="1:14" ht="12.75" customHeight="1" x14ac:dyDescent="0.2">
      <c r="A136" s="211">
        <v>36831</v>
      </c>
      <c r="B136" s="212">
        <v>92.950064066379284</v>
      </c>
      <c r="C136" s="212">
        <v>103.63007715222304</v>
      </c>
      <c r="D136" s="212">
        <v>86.878806940451057</v>
      </c>
      <c r="E136" s="212">
        <v>60.269693163702364</v>
      </c>
      <c r="F136" s="212">
        <v>140.91022490231839</v>
      </c>
      <c r="G136" s="212">
        <v>91.923890661924034</v>
      </c>
      <c r="I136" s="213"/>
      <c r="J136" s="213"/>
      <c r="K136" s="213"/>
      <c r="L136" s="213"/>
      <c r="M136" s="213"/>
      <c r="N136" s="213"/>
    </row>
    <row r="137" spans="1:14" ht="12.75" customHeight="1" x14ac:dyDescent="0.2">
      <c r="A137" s="211">
        <v>36861</v>
      </c>
      <c r="B137" s="212">
        <v>96.691606573589937</v>
      </c>
      <c r="C137" s="212">
        <v>104.40074042943208</v>
      </c>
      <c r="D137" s="212">
        <v>90.05798989637843</v>
      </c>
      <c r="E137" s="212">
        <v>61.040444382839574</v>
      </c>
      <c r="F137" s="212">
        <v>142.18735685007354</v>
      </c>
      <c r="G137" s="212">
        <v>94.416366923241185</v>
      </c>
      <c r="I137" s="213"/>
      <c r="J137" s="213"/>
      <c r="K137" s="213"/>
      <c r="L137" s="213"/>
      <c r="M137" s="213"/>
      <c r="N137" s="213"/>
    </row>
    <row r="138" spans="1:14" ht="12.75" customHeight="1" x14ac:dyDescent="0.2">
      <c r="A138" s="211">
        <v>36892</v>
      </c>
      <c r="B138" s="212">
        <v>90.062057449133604</v>
      </c>
      <c r="C138" s="212">
        <v>103.85249495614576</v>
      </c>
      <c r="D138" s="212">
        <v>89.98204385551675</v>
      </c>
      <c r="E138" s="212">
        <v>59.942532082729002</v>
      </c>
      <c r="F138" s="212">
        <v>146.48961447205656</v>
      </c>
      <c r="G138" s="212">
        <v>92.156538286675854</v>
      </c>
      <c r="I138" s="213"/>
      <c r="J138" s="213"/>
      <c r="K138" s="213"/>
      <c r="L138" s="213"/>
      <c r="M138" s="213"/>
      <c r="N138" s="213"/>
    </row>
    <row r="139" spans="1:14" ht="12.75" customHeight="1" x14ac:dyDescent="0.2">
      <c r="A139" s="211">
        <v>36923</v>
      </c>
      <c r="B139" s="212">
        <v>96.040004493642655</v>
      </c>
      <c r="C139" s="212">
        <v>103.54908041177944</v>
      </c>
      <c r="D139" s="212">
        <v>88.363988756585798</v>
      </c>
      <c r="E139" s="212">
        <v>57.784509684848793</v>
      </c>
      <c r="F139" s="212">
        <v>140.10137466874014</v>
      </c>
      <c r="G139" s="212">
        <v>92.976121341912702</v>
      </c>
      <c r="I139" s="213"/>
      <c r="J139" s="213"/>
      <c r="K139" s="213"/>
      <c r="L139" s="213"/>
      <c r="M139" s="213"/>
      <c r="N139" s="213"/>
    </row>
    <row r="140" spans="1:14" ht="12.75" customHeight="1" x14ac:dyDescent="0.2">
      <c r="A140" s="211">
        <v>36951</v>
      </c>
      <c r="B140" s="212">
        <v>100.69611660829993</v>
      </c>
      <c r="C140" s="212">
        <v>104.70536491340377</v>
      </c>
      <c r="D140" s="212">
        <v>87.353602902488291</v>
      </c>
      <c r="E140" s="212">
        <v>60.834806641456254</v>
      </c>
      <c r="F140" s="212">
        <v>131.59619190959896</v>
      </c>
      <c r="G140" s="212">
        <v>94.331175320089514</v>
      </c>
      <c r="I140" s="213"/>
      <c r="J140" s="213"/>
      <c r="K140" s="213"/>
      <c r="L140" s="213"/>
      <c r="M140" s="213"/>
      <c r="N140" s="213"/>
    </row>
    <row r="141" spans="1:14" ht="12.75" customHeight="1" x14ac:dyDescent="0.2">
      <c r="A141" s="211">
        <v>36982</v>
      </c>
      <c r="B141" s="212">
        <v>99.431864846295497</v>
      </c>
      <c r="C141" s="212">
        <v>104.89218967162732</v>
      </c>
      <c r="D141" s="212">
        <v>85.021175026598286</v>
      </c>
      <c r="E141" s="212">
        <v>60.4496316355254</v>
      </c>
      <c r="F141" s="212">
        <v>124.09465425687556</v>
      </c>
      <c r="G141" s="212">
        <v>92.695001689523522</v>
      </c>
      <c r="I141" s="213"/>
      <c r="J141" s="213"/>
      <c r="K141" s="213"/>
      <c r="L141" s="213"/>
      <c r="M141" s="213"/>
      <c r="N141" s="213"/>
    </row>
    <row r="142" spans="1:14" ht="12.75" customHeight="1" x14ac:dyDescent="0.2">
      <c r="A142" s="211">
        <v>37012</v>
      </c>
      <c r="B142" s="212">
        <v>100.07491141322255</v>
      </c>
      <c r="C142" s="212">
        <v>109.23117267241589</v>
      </c>
      <c r="D142" s="212">
        <v>84.926941904142865</v>
      </c>
      <c r="E142" s="212">
        <v>58.160614429413393</v>
      </c>
      <c r="F142" s="212">
        <v>136.00165211321908</v>
      </c>
      <c r="G142" s="212">
        <v>94.154672946507702</v>
      </c>
      <c r="I142" s="213"/>
      <c r="J142" s="213"/>
      <c r="K142" s="213"/>
      <c r="L142" s="213"/>
      <c r="M142" s="213"/>
      <c r="N142" s="213"/>
    </row>
    <row r="143" spans="1:14" ht="12.75" customHeight="1" x14ac:dyDescent="0.2">
      <c r="A143" s="211">
        <v>37043</v>
      </c>
      <c r="B143" s="212">
        <v>96.968964693013902</v>
      </c>
      <c r="C143" s="212">
        <v>109.83407723036625</v>
      </c>
      <c r="D143" s="212">
        <v>84.367417211326156</v>
      </c>
      <c r="E143" s="212">
        <v>61.844862072909976</v>
      </c>
      <c r="F143" s="212">
        <v>128.31459553398184</v>
      </c>
      <c r="G143" s="212">
        <v>92.992733071147967</v>
      </c>
      <c r="I143" s="213"/>
      <c r="J143" s="213"/>
      <c r="K143" s="213"/>
      <c r="L143" s="213"/>
      <c r="M143" s="213"/>
      <c r="N143" s="213"/>
    </row>
    <row r="144" spans="1:14" ht="12.75" customHeight="1" x14ac:dyDescent="0.2">
      <c r="A144" s="211">
        <v>37073</v>
      </c>
      <c r="B144" s="212">
        <v>96.598562709938406</v>
      </c>
      <c r="C144" s="212">
        <v>110.56018364754595</v>
      </c>
      <c r="D144" s="212">
        <v>87.617898444115696</v>
      </c>
      <c r="E144" s="212">
        <v>75.369840468544353</v>
      </c>
      <c r="F144" s="212">
        <v>124.79127168292385</v>
      </c>
      <c r="G144" s="212">
        <v>95.529043915078361</v>
      </c>
      <c r="I144" s="213"/>
      <c r="J144" s="213"/>
      <c r="K144" s="213"/>
      <c r="L144" s="213"/>
      <c r="M144" s="213"/>
      <c r="N144" s="213"/>
    </row>
    <row r="145" spans="1:14" ht="12.75" customHeight="1" x14ac:dyDescent="0.2">
      <c r="A145" s="211">
        <v>37104</v>
      </c>
      <c r="B145" s="212">
        <v>97.172485848553706</v>
      </c>
      <c r="C145" s="212">
        <v>109.5716256057344</v>
      </c>
      <c r="D145" s="212">
        <v>86.614446938988749</v>
      </c>
      <c r="E145" s="212">
        <v>79.633879945048577</v>
      </c>
      <c r="F145" s="212">
        <v>115.13313660414912</v>
      </c>
      <c r="G145" s="212">
        <v>95.197592354034043</v>
      </c>
      <c r="I145" s="213"/>
      <c r="J145" s="213"/>
      <c r="K145" s="213"/>
      <c r="L145" s="213"/>
      <c r="M145" s="213"/>
      <c r="N145" s="213"/>
    </row>
    <row r="146" spans="1:14" ht="12.75" customHeight="1" x14ac:dyDescent="0.2">
      <c r="A146" s="211">
        <v>37135</v>
      </c>
      <c r="B146" s="212">
        <v>97.874566537982346</v>
      </c>
      <c r="C146" s="212">
        <v>108.97765567954676</v>
      </c>
      <c r="D146" s="212">
        <v>85.714195401933523</v>
      </c>
      <c r="E146" s="212">
        <v>72.929758947259202</v>
      </c>
      <c r="F146" s="212">
        <v>108.41431200943732</v>
      </c>
      <c r="G146" s="212">
        <v>93.663688826377282</v>
      </c>
      <c r="I146" s="213"/>
      <c r="J146" s="213"/>
      <c r="K146" s="213"/>
      <c r="L146" s="213"/>
      <c r="M146" s="213"/>
      <c r="N146" s="213"/>
    </row>
    <row r="147" spans="1:14" ht="12.75" customHeight="1" x14ac:dyDescent="0.2">
      <c r="A147" s="211">
        <v>37165</v>
      </c>
      <c r="B147" s="212">
        <v>95.816668375317477</v>
      </c>
      <c r="C147" s="212">
        <v>110.72880801767289</v>
      </c>
      <c r="D147" s="212">
        <v>85.193345694609093</v>
      </c>
      <c r="E147" s="212">
        <v>69.371797100463894</v>
      </c>
      <c r="F147" s="212">
        <v>96.364849719747397</v>
      </c>
      <c r="G147" s="212">
        <v>91.728617831842556</v>
      </c>
      <c r="I147" s="213"/>
      <c r="J147" s="213"/>
      <c r="K147" s="213"/>
      <c r="L147" s="213"/>
      <c r="M147" s="213"/>
      <c r="N147" s="213"/>
    </row>
    <row r="148" spans="1:14" ht="12.75" customHeight="1" x14ac:dyDescent="0.2">
      <c r="A148" s="211">
        <v>37196</v>
      </c>
      <c r="B148" s="212">
        <v>93.7681687178667</v>
      </c>
      <c r="C148" s="212">
        <v>107.33998914109013</v>
      </c>
      <c r="D148" s="212">
        <v>86.52885563934278</v>
      </c>
      <c r="E148" s="212">
        <v>75.746520370796077</v>
      </c>
      <c r="F148" s="212">
        <v>108.88968890110174</v>
      </c>
      <c r="G148" s="212">
        <v>92.617422574156521</v>
      </c>
      <c r="I148" s="213"/>
      <c r="J148" s="213"/>
      <c r="K148" s="213"/>
      <c r="L148" s="213"/>
      <c r="M148" s="213"/>
      <c r="N148" s="213"/>
    </row>
    <row r="149" spans="1:14" ht="12.75" customHeight="1" x14ac:dyDescent="0.2">
      <c r="A149" s="211">
        <v>37226</v>
      </c>
      <c r="B149" s="212">
        <v>93.391584224460971</v>
      </c>
      <c r="C149" s="212">
        <v>101.46488439102781</v>
      </c>
      <c r="D149" s="212">
        <v>86.811875986372044</v>
      </c>
      <c r="E149" s="212">
        <v>79.209668636337355</v>
      </c>
      <c r="F149" s="212">
        <v>111.11047945469821</v>
      </c>
      <c r="G149" s="212">
        <v>92.229009699197945</v>
      </c>
      <c r="I149" s="213"/>
      <c r="J149" s="213"/>
      <c r="K149" s="213"/>
      <c r="L149" s="213"/>
      <c r="M149" s="213"/>
      <c r="N149" s="213"/>
    </row>
    <row r="150" spans="1:14" ht="12.75" customHeight="1" x14ac:dyDescent="0.2">
      <c r="A150" s="211">
        <v>37257</v>
      </c>
      <c r="B150" s="212">
        <v>91.421894184120291</v>
      </c>
      <c r="C150" s="212">
        <v>94.790934713521807</v>
      </c>
      <c r="D150" s="212">
        <v>86.960439306952566</v>
      </c>
      <c r="E150" s="212">
        <v>77.224135101435607</v>
      </c>
      <c r="F150" s="212">
        <v>110.48204944866001</v>
      </c>
      <c r="G150" s="212">
        <v>90.139993424494165</v>
      </c>
      <c r="I150" s="213"/>
      <c r="J150" s="213"/>
      <c r="K150" s="213"/>
      <c r="L150" s="213"/>
      <c r="M150" s="213"/>
      <c r="N150" s="213"/>
    </row>
    <row r="151" spans="1:14" ht="12.75" customHeight="1" x14ac:dyDescent="0.2">
      <c r="A151" s="211">
        <v>37288</v>
      </c>
      <c r="B151" s="212">
        <v>92.080837574267306</v>
      </c>
      <c r="C151" s="212">
        <v>94.750628709048854</v>
      </c>
      <c r="D151" s="212">
        <v>85.148139218349684</v>
      </c>
      <c r="E151" s="212">
        <v>74.801394689329172</v>
      </c>
      <c r="F151" s="212">
        <v>92.883756842291263</v>
      </c>
      <c r="G151" s="212">
        <v>88.258113482845019</v>
      </c>
      <c r="I151" s="213"/>
      <c r="J151" s="213"/>
      <c r="K151" s="213"/>
      <c r="L151" s="213"/>
      <c r="M151" s="213"/>
      <c r="N151" s="213"/>
    </row>
    <row r="152" spans="1:14" ht="12.75" customHeight="1" x14ac:dyDescent="0.2">
      <c r="A152" s="211">
        <v>37316</v>
      </c>
      <c r="B152" s="212">
        <v>94.410484687967127</v>
      </c>
      <c r="C152" s="212">
        <v>91.169679489710376</v>
      </c>
      <c r="D152" s="212">
        <v>84.301268809956127</v>
      </c>
      <c r="E152" s="212">
        <v>74.462641711982315</v>
      </c>
      <c r="F152" s="212">
        <v>95.039902445445861</v>
      </c>
      <c r="G152" s="212">
        <v>88.344400383396064</v>
      </c>
      <c r="I152" s="213"/>
      <c r="J152" s="213"/>
      <c r="K152" s="213"/>
      <c r="L152" s="213"/>
      <c r="M152" s="213"/>
      <c r="N152" s="213"/>
    </row>
    <row r="153" spans="1:14" ht="12.75" customHeight="1" x14ac:dyDescent="0.2">
      <c r="A153" s="211">
        <v>37347</v>
      </c>
      <c r="B153" s="212">
        <v>91.201610820525744</v>
      </c>
      <c r="C153" s="212">
        <v>88.156189962685602</v>
      </c>
      <c r="D153" s="212">
        <v>82.350155115284196</v>
      </c>
      <c r="E153" s="212">
        <v>76.948259236682176</v>
      </c>
      <c r="F153" s="212">
        <v>97.707044164621337</v>
      </c>
      <c r="G153" s="212">
        <v>86.739687723394695</v>
      </c>
      <c r="I153" s="213"/>
      <c r="J153" s="213"/>
      <c r="K153" s="213"/>
      <c r="L153" s="213"/>
      <c r="M153" s="213"/>
      <c r="N153" s="213"/>
    </row>
    <row r="154" spans="1:14" ht="12.75" customHeight="1" x14ac:dyDescent="0.2">
      <c r="A154" s="211">
        <v>37377</v>
      </c>
      <c r="B154" s="212">
        <v>89.638685429473043</v>
      </c>
      <c r="C154" s="212">
        <v>80.733770252111213</v>
      </c>
      <c r="D154" s="212">
        <v>84.34450086408647</v>
      </c>
      <c r="E154" s="212">
        <v>80.864636449670826</v>
      </c>
      <c r="F154" s="212">
        <v>86.160133576814914</v>
      </c>
      <c r="G154" s="212">
        <v>85.215720600193649</v>
      </c>
      <c r="I154" s="213"/>
      <c r="J154" s="213"/>
      <c r="K154" s="213"/>
      <c r="L154" s="213"/>
      <c r="M154" s="213"/>
      <c r="N154" s="213"/>
    </row>
    <row r="155" spans="1:14" ht="12.75" customHeight="1" x14ac:dyDescent="0.2">
      <c r="A155" s="211">
        <v>37408</v>
      </c>
      <c r="B155" s="212">
        <v>90.125956654650793</v>
      </c>
      <c r="C155" s="212">
        <v>76.302001215545474</v>
      </c>
      <c r="D155" s="212">
        <v>87.078770303783244</v>
      </c>
      <c r="E155" s="212">
        <v>87.84620625232786</v>
      </c>
      <c r="F155" s="212">
        <v>81.594541106579129</v>
      </c>
      <c r="G155" s="212">
        <v>86.043333462635445</v>
      </c>
      <c r="I155" s="213"/>
      <c r="J155" s="213"/>
      <c r="K155" s="213"/>
      <c r="L155" s="213"/>
      <c r="M155" s="213"/>
      <c r="N155" s="213"/>
    </row>
    <row r="156" spans="1:14" ht="12.75" customHeight="1" x14ac:dyDescent="0.2">
      <c r="A156" s="211">
        <v>37438</v>
      </c>
      <c r="B156" s="212">
        <v>90.656866920359093</v>
      </c>
      <c r="C156" s="212">
        <v>72.67323771932314</v>
      </c>
      <c r="D156" s="212">
        <v>93.263885328407497</v>
      </c>
      <c r="E156" s="212">
        <v>88.774300439720804</v>
      </c>
      <c r="F156" s="212">
        <v>90.633180253735162</v>
      </c>
      <c r="G156" s="212">
        <v>88.081116423810755</v>
      </c>
      <c r="I156" s="213"/>
      <c r="J156" s="213"/>
      <c r="K156" s="213"/>
      <c r="L156" s="213"/>
      <c r="M156" s="213"/>
      <c r="N156" s="213"/>
    </row>
    <row r="157" spans="1:14" ht="12.75" customHeight="1" x14ac:dyDescent="0.2">
      <c r="A157" s="211">
        <v>37469</v>
      </c>
      <c r="B157" s="212">
        <v>88.297792230845005</v>
      </c>
      <c r="C157" s="212">
        <v>71.679224224864967</v>
      </c>
      <c r="D157" s="212">
        <v>100.1708945483246</v>
      </c>
      <c r="E157" s="212">
        <v>93.931160586026166</v>
      </c>
      <c r="F157" s="212">
        <v>89.321834406632959</v>
      </c>
      <c r="G157" s="212">
        <v>89.605437531773276</v>
      </c>
      <c r="I157" s="213"/>
      <c r="J157" s="213"/>
      <c r="K157" s="213"/>
      <c r="L157" s="213"/>
      <c r="M157" s="213"/>
      <c r="N157" s="213"/>
    </row>
    <row r="158" spans="1:14" ht="12.75" customHeight="1" x14ac:dyDescent="0.2">
      <c r="A158" s="211">
        <v>37500</v>
      </c>
      <c r="B158" s="212">
        <v>88.164308608522816</v>
      </c>
      <c r="C158" s="212">
        <v>73.871718291794636</v>
      </c>
      <c r="D158" s="212">
        <v>110.71826782220974</v>
      </c>
      <c r="E158" s="212">
        <v>90.023767976284518</v>
      </c>
      <c r="F158" s="212">
        <v>98.764870626398391</v>
      </c>
      <c r="G158" s="212">
        <v>92.916808075989309</v>
      </c>
      <c r="I158" s="213"/>
      <c r="J158" s="213"/>
      <c r="K158" s="213"/>
      <c r="L158" s="213"/>
      <c r="M158" s="213"/>
      <c r="N158" s="213"/>
    </row>
    <row r="159" spans="1:14" ht="12.75" customHeight="1" x14ac:dyDescent="0.2">
      <c r="A159" s="211">
        <v>37530</v>
      </c>
      <c r="B159" s="212">
        <v>86.294496465656309</v>
      </c>
      <c r="C159" s="212">
        <v>75.820644918632922</v>
      </c>
      <c r="D159" s="212">
        <v>109.84314535366859</v>
      </c>
      <c r="E159" s="212">
        <v>93.36709186665577</v>
      </c>
      <c r="F159" s="212">
        <v>106.56956586267987</v>
      </c>
      <c r="G159" s="212">
        <v>93.39298140003315</v>
      </c>
      <c r="I159" s="213"/>
      <c r="J159" s="213"/>
      <c r="K159" s="213"/>
      <c r="L159" s="213"/>
      <c r="M159" s="213"/>
      <c r="N159" s="213"/>
    </row>
    <row r="160" spans="1:14" ht="12.75" customHeight="1" x14ac:dyDescent="0.2">
      <c r="A160" s="211">
        <v>37561</v>
      </c>
      <c r="B160" s="212">
        <v>86.778113051292394</v>
      </c>
      <c r="C160" s="212">
        <v>80.469142876431462</v>
      </c>
      <c r="D160" s="212">
        <v>107.35627715922566</v>
      </c>
      <c r="E160" s="212">
        <v>101.52038267365661</v>
      </c>
      <c r="F160" s="212">
        <v>111.11047945469821</v>
      </c>
      <c r="G160" s="212">
        <v>95.147274415000183</v>
      </c>
      <c r="I160" s="213"/>
      <c r="J160" s="213"/>
      <c r="K160" s="213"/>
      <c r="L160" s="213"/>
      <c r="M160" s="213"/>
      <c r="N160" s="213"/>
    </row>
    <row r="161" spans="1:14" ht="12.75" customHeight="1" x14ac:dyDescent="0.2">
      <c r="A161" s="211">
        <v>37591</v>
      </c>
      <c r="B161" s="212">
        <v>85.48827994922695</v>
      </c>
      <c r="C161" s="212">
        <v>86.407422121413632</v>
      </c>
      <c r="D161" s="212">
        <v>101.28138884243606</v>
      </c>
      <c r="E161" s="212">
        <v>104.43271614317769</v>
      </c>
      <c r="F161" s="212">
        <v>112.81332205170507</v>
      </c>
      <c r="G161" s="212">
        <v>94.581450850685741</v>
      </c>
      <c r="I161" s="213"/>
      <c r="J161" s="213"/>
      <c r="K161" s="213"/>
      <c r="L161" s="213"/>
      <c r="M161" s="213"/>
      <c r="N161" s="213"/>
    </row>
    <row r="162" spans="1:14" ht="12.75" customHeight="1" x14ac:dyDescent="0.2">
      <c r="A162" s="211">
        <v>37622</v>
      </c>
      <c r="B162" s="212">
        <v>89.11041491590143</v>
      </c>
      <c r="C162" s="212">
        <v>89.325117330592803</v>
      </c>
      <c r="D162" s="212">
        <v>98.489330941442745</v>
      </c>
      <c r="E162" s="212">
        <v>102.01839327387117</v>
      </c>
      <c r="F162" s="212">
        <v>116.21900724571881</v>
      </c>
      <c r="G162" s="212">
        <v>95.474361974941417</v>
      </c>
      <c r="I162" s="213"/>
      <c r="J162" s="213"/>
      <c r="K162" s="213"/>
      <c r="L162" s="213"/>
      <c r="M162" s="213"/>
      <c r="N162" s="213"/>
    </row>
    <row r="163" spans="1:14" ht="12.75" customHeight="1" x14ac:dyDescent="0.2">
      <c r="A163" s="211">
        <v>37653</v>
      </c>
      <c r="B163" s="212">
        <v>91.190111690047601</v>
      </c>
      <c r="C163" s="212">
        <v>92.670289863953144</v>
      </c>
      <c r="D163" s="212">
        <v>98.448450620564032</v>
      </c>
      <c r="E163" s="212">
        <v>99.024681023750603</v>
      </c>
      <c r="F163" s="212">
        <v>127.71319477551518</v>
      </c>
      <c r="G163" s="212">
        <v>97.15121661420055</v>
      </c>
      <c r="I163" s="213"/>
      <c r="J163" s="213"/>
      <c r="K163" s="213"/>
      <c r="L163" s="213"/>
      <c r="M163" s="213"/>
      <c r="N163" s="213"/>
    </row>
    <row r="164" spans="1:14" ht="12.75" customHeight="1" x14ac:dyDescent="0.2">
      <c r="A164" s="211">
        <v>37681</v>
      </c>
      <c r="B164" s="212">
        <v>91.335141315377967</v>
      </c>
      <c r="C164" s="212">
        <v>93.78268472314258</v>
      </c>
      <c r="D164" s="212">
        <v>95.80987996876101</v>
      </c>
      <c r="E164" s="212">
        <v>95.029340692251878</v>
      </c>
      <c r="F164" s="212">
        <v>116.78662144472109</v>
      </c>
      <c r="G164" s="212">
        <v>95.318321566275998</v>
      </c>
      <c r="I164" s="213"/>
      <c r="J164" s="213"/>
      <c r="K164" s="213"/>
      <c r="L164" s="213"/>
      <c r="M164" s="213"/>
      <c r="N164" s="213"/>
    </row>
    <row r="165" spans="1:14" ht="12.75" customHeight="1" x14ac:dyDescent="0.2">
      <c r="A165" s="211">
        <v>37712</v>
      </c>
      <c r="B165" s="212">
        <v>91.226156285357277</v>
      </c>
      <c r="C165" s="212">
        <v>91.970004520439502</v>
      </c>
      <c r="D165" s="212">
        <v>95.5234616607178</v>
      </c>
      <c r="E165" s="212">
        <v>95.550158699875155</v>
      </c>
      <c r="F165" s="212">
        <v>109.97525105669361</v>
      </c>
      <c r="G165" s="212">
        <v>94.481414561454358</v>
      </c>
      <c r="I165" s="213"/>
      <c r="J165" s="213"/>
      <c r="K165" s="213"/>
      <c r="L165" s="213"/>
      <c r="M165" s="213"/>
      <c r="N165" s="213"/>
    </row>
    <row r="166" spans="1:14" ht="12.75" customHeight="1" x14ac:dyDescent="0.2">
      <c r="A166" s="211">
        <v>37742</v>
      </c>
      <c r="B166" s="212">
        <v>93.174390388597942</v>
      </c>
      <c r="C166" s="212">
        <v>91.681433909575247</v>
      </c>
      <c r="D166" s="212">
        <v>97.459466575495156</v>
      </c>
      <c r="E166" s="212">
        <v>97.836147909763298</v>
      </c>
      <c r="F166" s="212">
        <v>101.74484517116042</v>
      </c>
      <c r="G166" s="212">
        <v>95.365153583972386</v>
      </c>
      <c r="I166" s="213"/>
      <c r="J166" s="213"/>
      <c r="K166" s="213"/>
      <c r="L166" s="213"/>
      <c r="M166" s="213"/>
      <c r="N166" s="213"/>
    </row>
    <row r="167" spans="1:14" ht="12.75" customHeight="1" x14ac:dyDescent="0.2">
      <c r="A167" s="211">
        <v>37773</v>
      </c>
      <c r="B167" s="212">
        <v>95.984250151659694</v>
      </c>
      <c r="C167" s="212">
        <v>91.59953204347083</v>
      </c>
      <c r="D167" s="212">
        <v>95.802552251988089</v>
      </c>
      <c r="E167" s="212">
        <v>99.640906694327782</v>
      </c>
      <c r="F167" s="212">
        <v>95.359185432384663</v>
      </c>
      <c r="G167" s="212">
        <v>95.67253241436066</v>
      </c>
      <c r="I167" s="213"/>
      <c r="J167" s="213"/>
      <c r="K167" s="213"/>
      <c r="L167" s="213"/>
      <c r="M167" s="213"/>
      <c r="N167" s="213"/>
    </row>
    <row r="168" spans="1:14" ht="12.75" customHeight="1" x14ac:dyDescent="0.2">
      <c r="A168" s="211">
        <v>37803</v>
      </c>
      <c r="B168" s="212">
        <v>96.577393849153253</v>
      </c>
      <c r="C168" s="212">
        <v>92.716368532829577</v>
      </c>
      <c r="D168" s="212">
        <v>92.823468410365138</v>
      </c>
      <c r="E168" s="212">
        <v>95.2434661227406</v>
      </c>
      <c r="F168" s="212">
        <v>97.062028029391527</v>
      </c>
      <c r="G168" s="212">
        <v>94.757363283798327</v>
      </c>
      <c r="I168" s="213"/>
      <c r="J168" s="213"/>
      <c r="K168" s="213"/>
      <c r="L168" s="213"/>
      <c r="M168" s="213"/>
      <c r="N168" s="213"/>
    </row>
    <row r="169" spans="1:14" ht="12.75" customHeight="1" x14ac:dyDescent="0.2">
      <c r="A169" s="211">
        <v>37834</v>
      </c>
      <c r="B169" s="212">
        <v>97.706043517036974</v>
      </c>
      <c r="C169" s="212">
        <v>93.597984545698722</v>
      </c>
      <c r="D169" s="212">
        <v>97.732749978033752</v>
      </c>
      <c r="E169" s="212">
        <v>92.68283015883361</v>
      </c>
      <c r="F169" s="212">
        <v>96.920124479640961</v>
      </c>
      <c r="G169" s="212">
        <v>96.25661312238303</v>
      </c>
      <c r="I169" s="213"/>
      <c r="J169" s="213"/>
      <c r="K169" s="213"/>
      <c r="L169" s="213"/>
      <c r="M169" s="213"/>
      <c r="N169" s="213"/>
    </row>
    <row r="170" spans="1:14" ht="12.75" customHeight="1" x14ac:dyDescent="0.2">
      <c r="A170" s="211">
        <v>37865</v>
      </c>
      <c r="B170" s="212">
        <v>102.7861865485888</v>
      </c>
      <c r="C170" s="212">
        <v>96.455885824974558</v>
      </c>
      <c r="D170" s="212">
        <v>97.623897999429374</v>
      </c>
      <c r="E170" s="212">
        <v>96.937570228412625</v>
      </c>
      <c r="F170" s="212">
        <v>84.909924041660631</v>
      </c>
      <c r="G170" s="212">
        <v>98.20665477991173</v>
      </c>
      <c r="I170" s="213"/>
      <c r="J170" s="213"/>
      <c r="K170" s="213"/>
      <c r="L170" s="213"/>
      <c r="M170" s="213"/>
      <c r="N170" s="213"/>
    </row>
    <row r="171" spans="1:14" ht="12.75" customHeight="1" x14ac:dyDescent="0.2">
      <c r="A171" s="211">
        <v>37895</v>
      </c>
      <c r="B171" s="212">
        <v>102.71292088357431</v>
      </c>
      <c r="C171" s="212">
        <v>100.62421550977565</v>
      </c>
      <c r="D171" s="212">
        <v>98.51347711177408</v>
      </c>
      <c r="E171" s="212">
        <v>109.20253391617922</v>
      </c>
      <c r="F171" s="212">
        <v>84.556006492677994</v>
      </c>
      <c r="G171" s="212">
        <v>100.83264584369303</v>
      </c>
      <c r="I171" s="213"/>
      <c r="J171" s="213"/>
      <c r="K171" s="213"/>
      <c r="L171" s="213"/>
      <c r="M171" s="213"/>
      <c r="N171" s="213"/>
    </row>
    <row r="172" spans="1:14" ht="12.75" customHeight="1" x14ac:dyDescent="0.2">
      <c r="A172" s="211">
        <v>37926</v>
      </c>
      <c r="B172" s="212">
        <v>104.54574809405163</v>
      </c>
      <c r="C172" s="212">
        <v>102.43222201030515</v>
      </c>
      <c r="D172" s="212">
        <v>103.69492720933451</v>
      </c>
      <c r="E172" s="212">
        <v>111.40450140718174</v>
      </c>
      <c r="F172" s="212">
        <v>86.277358248348023</v>
      </c>
      <c r="G172" s="212">
        <v>103.61433295428654</v>
      </c>
      <c r="I172" s="213"/>
      <c r="J172" s="213"/>
      <c r="K172" s="213"/>
      <c r="L172" s="213"/>
      <c r="M172" s="213"/>
      <c r="N172" s="213"/>
    </row>
    <row r="173" spans="1:14" ht="12.75" customHeight="1" x14ac:dyDescent="0.2">
      <c r="A173" s="211">
        <v>37956</v>
      </c>
      <c r="B173" s="212">
        <v>104.89592525428293</v>
      </c>
      <c r="C173" s="212">
        <v>104.54513078573228</v>
      </c>
      <c r="D173" s="212">
        <v>105.44644022059285</v>
      </c>
      <c r="E173" s="212">
        <v>115.16787353505443</v>
      </c>
      <c r="F173" s="212">
        <v>89.17624505039538</v>
      </c>
      <c r="G173" s="212">
        <v>105.30744169035259</v>
      </c>
      <c r="I173" s="213"/>
      <c r="J173" s="213"/>
      <c r="K173" s="213"/>
      <c r="L173" s="213"/>
      <c r="M173" s="213"/>
      <c r="N173" s="213"/>
    </row>
    <row r="174" spans="1:14" ht="12.75" customHeight="1" x14ac:dyDescent="0.2">
      <c r="A174" s="211">
        <v>37987</v>
      </c>
      <c r="B174" s="212">
        <v>112.19354289269606</v>
      </c>
      <c r="C174" s="212">
        <v>106.75231535538185</v>
      </c>
      <c r="D174" s="212">
        <v>108.06599875182502</v>
      </c>
      <c r="E174" s="212">
        <v>115.39109879037181</v>
      </c>
      <c r="F174" s="212">
        <v>82.38514659804666</v>
      </c>
      <c r="G174" s="212">
        <v>108.46436790057929</v>
      </c>
      <c r="I174" s="213"/>
      <c r="J174" s="213"/>
      <c r="K174" s="213"/>
      <c r="L174" s="213"/>
      <c r="M174" s="213"/>
      <c r="N174" s="213"/>
    </row>
    <row r="175" spans="1:14" ht="12.75" customHeight="1" x14ac:dyDescent="0.2">
      <c r="A175" s="211">
        <v>38018</v>
      </c>
      <c r="B175" s="212">
        <v>107.79935753329492</v>
      </c>
      <c r="C175" s="212">
        <v>113.01687233619705</v>
      </c>
      <c r="D175" s="212">
        <v>110.66994838082267</v>
      </c>
      <c r="E175" s="212">
        <v>121.43893466758237</v>
      </c>
      <c r="F175" s="212">
        <v>82.921339296746993</v>
      </c>
      <c r="G175" s="212">
        <v>109.59049489417464</v>
      </c>
      <c r="I175" s="213"/>
      <c r="J175" s="213"/>
      <c r="K175" s="213"/>
      <c r="L175" s="213"/>
      <c r="M175" s="213"/>
      <c r="N175" s="213"/>
    </row>
    <row r="176" spans="1:14" ht="12.75" customHeight="1" x14ac:dyDescent="0.2">
      <c r="A176" s="211">
        <v>38047</v>
      </c>
      <c r="B176" s="212">
        <v>111.86705901567666</v>
      </c>
      <c r="C176" s="212">
        <v>114.68560941504384</v>
      </c>
      <c r="D176" s="212">
        <v>114.8060624669781</v>
      </c>
      <c r="E176" s="212">
        <v>122.79888723522031</v>
      </c>
      <c r="F176" s="212">
        <v>91.632674821543588</v>
      </c>
      <c r="G176" s="212">
        <v>113.22601713222268</v>
      </c>
      <c r="I176" s="213"/>
      <c r="J176" s="213"/>
      <c r="K176" s="213"/>
      <c r="L176" s="213"/>
      <c r="M176" s="213"/>
      <c r="N176" s="213"/>
    </row>
    <row r="177" spans="1:14" ht="12.75" customHeight="1" x14ac:dyDescent="0.2">
      <c r="A177" s="211">
        <v>38078</v>
      </c>
      <c r="B177" s="212">
        <v>109.13554772520646</v>
      </c>
      <c r="C177" s="212">
        <v>115.72128707519789</v>
      </c>
      <c r="D177" s="212">
        <v>117.71997767790225</v>
      </c>
      <c r="E177" s="212">
        <v>123.2266401838296</v>
      </c>
      <c r="F177" s="212">
        <v>93.308679138488898</v>
      </c>
      <c r="G177" s="212">
        <v>113.42338757652965</v>
      </c>
      <c r="I177" s="213"/>
      <c r="J177" s="213"/>
      <c r="K177" s="213"/>
      <c r="L177" s="213"/>
      <c r="M177" s="213"/>
      <c r="N177" s="213"/>
    </row>
    <row r="178" spans="1:14" ht="12.75" customHeight="1" x14ac:dyDescent="0.2">
      <c r="A178" s="211">
        <v>38108</v>
      </c>
      <c r="B178" s="212">
        <v>107.87762215721961</v>
      </c>
      <c r="C178" s="212">
        <v>119.05031046879797</v>
      </c>
      <c r="D178" s="212">
        <v>115.44857185006353</v>
      </c>
      <c r="E178" s="212">
        <v>117.81194844365143</v>
      </c>
      <c r="F178" s="212">
        <v>89.951913326099657</v>
      </c>
      <c r="G178" s="212">
        <v>111.91948288562781</v>
      </c>
      <c r="I178" s="213"/>
      <c r="J178" s="213"/>
      <c r="K178" s="213"/>
      <c r="L178" s="213"/>
      <c r="M178" s="213"/>
      <c r="N178" s="213"/>
    </row>
    <row r="179" spans="1:14" ht="12.75" customHeight="1" x14ac:dyDescent="0.2">
      <c r="A179" s="211">
        <v>38139</v>
      </c>
      <c r="B179" s="212">
        <v>116.94512065189615</v>
      </c>
      <c r="C179" s="212">
        <v>124.21668170981503</v>
      </c>
      <c r="D179" s="212">
        <v>111.73489319613547</v>
      </c>
      <c r="E179" s="212">
        <v>106.90680450371872</v>
      </c>
      <c r="F179" s="212">
        <v>98.339159977146679</v>
      </c>
      <c r="G179" s="212">
        <v>113.98708935188138</v>
      </c>
      <c r="I179" s="213"/>
      <c r="J179" s="213"/>
      <c r="K179" s="213"/>
      <c r="L179" s="213"/>
      <c r="M179" s="213"/>
      <c r="N179" s="213"/>
    </row>
    <row r="180" spans="1:14" ht="12.75" customHeight="1" x14ac:dyDescent="0.2">
      <c r="A180" s="211">
        <v>38169</v>
      </c>
      <c r="B180" s="212">
        <v>116.93089086552708</v>
      </c>
      <c r="C180" s="212">
        <v>127.41676304027638</v>
      </c>
      <c r="D180" s="212">
        <v>103.12208866275577</v>
      </c>
      <c r="E180" s="212">
        <v>105.83351382072843</v>
      </c>
      <c r="F180" s="212">
        <v>112.30375930487348</v>
      </c>
      <c r="G180" s="212">
        <v>113.03623214715803</v>
      </c>
      <c r="I180" s="213"/>
      <c r="J180" s="213"/>
      <c r="K180" s="213"/>
      <c r="L180" s="213"/>
      <c r="M180" s="213"/>
      <c r="N180" s="213"/>
    </row>
    <row r="181" spans="1:14" ht="12.75" customHeight="1" x14ac:dyDescent="0.2">
      <c r="A181" s="211">
        <v>38200</v>
      </c>
      <c r="B181" s="212">
        <v>117.44848695267625</v>
      </c>
      <c r="C181" s="212">
        <v>127.74946148544166</v>
      </c>
      <c r="D181" s="212">
        <v>100.61472799336126</v>
      </c>
      <c r="E181" s="212">
        <v>106.68034963671573</v>
      </c>
      <c r="F181" s="212">
        <v>107.5048392587632</v>
      </c>
      <c r="G181" s="212">
        <v>112.36511834821493</v>
      </c>
      <c r="I181" s="213"/>
      <c r="J181" s="213"/>
      <c r="K181" s="213"/>
      <c r="L181" s="213"/>
      <c r="M181" s="213"/>
      <c r="N181" s="213"/>
    </row>
    <row r="182" spans="1:14" ht="12.75" customHeight="1" x14ac:dyDescent="0.2">
      <c r="A182" s="211">
        <v>38231</v>
      </c>
      <c r="B182" s="212">
        <v>116.72262012103292</v>
      </c>
      <c r="C182" s="212">
        <v>128.80300656179838</v>
      </c>
      <c r="D182" s="212">
        <v>101.7136932881583</v>
      </c>
      <c r="E182" s="212">
        <v>107.31419011666321</v>
      </c>
      <c r="F182" s="212">
        <v>109.07867862872406</v>
      </c>
      <c r="G182" s="212">
        <v>112.7911867536022</v>
      </c>
      <c r="I182" s="213"/>
      <c r="J182" s="213"/>
      <c r="K182" s="213"/>
      <c r="L182" s="213"/>
      <c r="M182" s="213"/>
      <c r="N182" s="213"/>
    </row>
    <row r="183" spans="1:14" ht="12.75" customHeight="1" x14ac:dyDescent="0.2">
      <c r="A183" s="211">
        <v>38261</v>
      </c>
      <c r="B183" s="212">
        <v>113.61788309550462</v>
      </c>
      <c r="C183" s="212">
        <v>129.6457320198937</v>
      </c>
      <c r="D183" s="212">
        <v>100.68709130474834</v>
      </c>
      <c r="E183" s="212">
        <v>105.73926521559369</v>
      </c>
      <c r="F183" s="212">
        <v>119.92877147491232</v>
      </c>
      <c r="G183" s="212">
        <v>112.13516221452794</v>
      </c>
      <c r="I183" s="213"/>
      <c r="J183" s="213"/>
      <c r="K183" s="213"/>
      <c r="L183" s="213"/>
      <c r="M183" s="213"/>
      <c r="N183" s="213"/>
    </row>
    <row r="184" spans="1:14" ht="12.75" customHeight="1" x14ac:dyDescent="0.2">
      <c r="A184" s="211">
        <v>38292</v>
      </c>
      <c r="B184" s="212">
        <v>116.25976857159937</v>
      </c>
      <c r="C184" s="212">
        <v>131.77319635487908</v>
      </c>
      <c r="D184" s="212">
        <v>102.15381056677111</v>
      </c>
      <c r="E184" s="212">
        <v>107.23135507098331</v>
      </c>
      <c r="F184" s="212">
        <v>115.8126470805239</v>
      </c>
      <c r="G184" s="212">
        <v>113.72173405330747</v>
      </c>
      <c r="I184" s="213"/>
      <c r="J184" s="213"/>
      <c r="K184" s="213"/>
      <c r="L184" s="213"/>
      <c r="M184" s="213"/>
      <c r="N184" s="213"/>
    </row>
    <row r="185" spans="1:14" ht="12.75" customHeight="1" x14ac:dyDescent="0.2">
      <c r="A185" s="211">
        <v>38322</v>
      </c>
      <c r="B185" s="212">
        <v>117.39809094713374</v>
      </c>
      <c r="C185" s="212">
        <v>132.94330008170351</v>
      </c>
      <c r="D185" s="212">
        <v>103.07790023929495</v>
      </c>
      <c r="E185" s="212">
        <v>105.69191552574968</v>
      </c>
      <c r="F185" s="212">
        <v>117.05191938555907</v>
      </c>
      <c r="G185" s="212">
        <v>114.43535657829251</v>
      </c>
      <c r="I185" s="213"/>
      <c r="J185" s="213"/>
      <c r="K185" s="213"/>
      <c r="L185" s="213"/>
      <c r="M185" s="213"/>
      <c r="N185" s="213"/>
    </row>
    <row r="186" spans="1:14" ht="12.75" customHeight="1" x14ac:dyDescent="0.2">
      <c r="A186" s="211">
        <v>38353</v>
      </c>
      <c r="B186" s="212">
        <v>117.76263821848261</v>
      </c>
      <c r="C186" s="212">
        <v>133.59210976933571</v>
      </c>
      <c r="D186" s="212">
        <v>104.12834091536153</v>
      </c>
      <c r="E186" s="212">
        <v>101.54857016484509</v>
      </c>
      <c r="F186" s="212">
        <v>123.746652694392</v>
      </c>
      <c r="G186" s="212">
        <v>114.85187578913755</v>
      </c>
      <c r="I186" s="213"/>
      <c r="J186" s="213"/>
      <c r="K186" s="213"/>
      <c r="L186" s="213"/>
      <c r="M186" s="213"/>
      <c r="N186" s="213"/>
    </row>
    <row r="187" spans="1:14" ht="12.75" customHeight="1" x14ac:dyDescent="0.2">
      <c r="A187" s="211">
        <v>38384</v>
      </c>
      <c r="B187" s="212">
        <v>116.26236043040012</v>
      </c>
      <c r="C187" s="212">
        <v>134.31670683818166</v>
      </c>
      <c r="D187" s="212">
        <v>102.57230563439397</v>
      </c>
      <c r="E187" s="212">
        <v>99.827890879781535</v>
      </c>
      <c r="F187" s="212">
        <v>129.16770616045852</v>
      </c>
      <c r="G187" s="212">
        <v>114.17736991613302</v>
      </c>
      <c r="I187" s="213"/>
      <c r="J187" s="213"/>
      <c r="K187" s="213"/>
      <c r="L187" s="213"/>
      <c r="M187" s="213"/>
      <c r="N187" s="213"/>
    </row>
    <row r="188" spans="1:14" ht="12.75" customHeight="1" x14ac:dyDescent="0.2">
      <c r="A188" s="211">
        <v>38412</v>
      </c>
      <c r="B188" s="212">
        <v>119.71385971591253</v>
      </c>
      <c r="C188" s="212">
        <v>134.98938145390946</v>
      </c>
      <c r="D188" s="212">
        <v>105.11984187063072</v>
      </c>
      <c r="E188" s="212">
        <v>107.46852965156621</v>
      </c>
      <c r="F188" s="212">
        <v>126.02886133717146</v>
      </c>
      <c r="G188" s="212">
        <v>117.03560022910884</v>
      </c>
      <c r="I188" s="213"/>
      <c r="J188" s="213"/>
      <c r="K188" s="213"/>
      <c r="L188" s="213"/>
      <c r="M188" s="213"/>
      <c r="N188" s="213"/>
    </row>
    <row r="189" spans="1:14" ht="12.75" customHeight="1" x14ac:dyDescent="0.2">
      <c r="A189" s="211">
        <v>38443</v>
      </c>
      <c r="B189" s="212">
        <v>119.11328625358244</v>
      </c>
      <c r="C189" s="212">
        <v>133.58415781885435</v>
      </c>
      <c r="D189" s="212">
        <v>100.72344397308299</v>
      </c>
      <c r="E189" s="212">
        <v>105.36772795404417</v>
      </c>
      <c r="F189" s="212">
        <v>121.88839192384881</v>
      </c>
      <c r="G189" s="212">
        <v>114.80227136647909</v>
      </c>
      <c r="I189" s="213"/>
      <c r="J189" s="213"/>
      <c r="K189" s="213"/>
      <c r="L189" s="213"/>
      <c r="M189" s="213"/>
      <c r="N189" s="213"/>
    </row>
    <row r="190" spans="1:14" ht="12.75" customHeight="1" x14ac:dyDescent="0.2">
      <c r="A190" s="211">
        <v>38473</v>
      </c>
      <c r="B190" s="212">
        <v>123.56208672206492</v>
      </c>
      <c r="C190" s="212">
        <v>134.24659661402421</v>
      </c>
      <c r="D190" s="212">
        <v>99.762321262206854</v>
      </c>
      <c r="E190" s="212">
        <v>103.77541322390236</v>
      </c>
      <c r="F190" s="212">
        <v>121.83129263835394</v>
      </c>
      <c r="G190" s="212">
        <v>115.96772960055821</v>
      </c>
      <c r="I190" s="213"/>
      <c r="J190" s="213"/>
      <c r="K190" s="213"/>
      <c r="L190" s="213"/>
      <c r="M190" s="213"/>
      <c r="N190" s="213"/>
    </row>
    <row r="191" spans="1:14" ht="12.75" customHeight="1" x14ac:dyDescent="0.2">
      <c r="A191" s="211">
        <v>38504</v>
      </c>
      <c r="B191" s="212">
        <v>123.81505775136776</v>
      </c>
      <c r="C191" s="212">
        <v>133.88741294178359</v>
      </c>
      <c r="D191" s="212">
        <v>101.83684835642332</v>
      </c>
      <c r="E191" s="212">
        <v>104.57211833228651</v>
      </c>
      <c r="F191" s="212">
        <v>128.44206300832496</v>
      </c>
      <c r="G191" s="212">
        <v>117.14788924110486</v>
      </c>
      <c r="I191" s="213"/>
      <c r="J191" s="213"/>
      <c r="K191" s="213"/>
      <c r="L191" s="213"/>
      <c r="M191" s="213"/>
      <c r="N191" s="213"/>
    </row>
    <row r="192" spans="1:14" ht="12.75" customHeight="1" x14ac:dyDescent="0.2">
      <c r="A192" s="211">
        <v>38534</v>
      </c>
      <c r="B192" s="212">
        <v>120.48757180616607</v>
      </c>
      <c r="C192" s="212">
        <v>135.12737882484939</v>
      </c>
      <c r="D192" s="212">
        <v>103.0492783987734</v>
      </c>
      <c r="E192" s="212">
        <v>103.79663765544389</v>
      </c>
      <c r="F192" s="212">
        <v>136.78150733576604</v>
      </c>
      <c r="G192" s="212">
        <v>117.02092383442127</v>
      </c>
      <c r="I192" s="213"/>
      <c r="J192" s="213"/>
      <c r="K192" s="213"/>
      <c r="L192" s="213"/>
      <c r="M192" s="213"/>
      <c r="N192" s="213"/>
    </row>
    <row r="193" spans="1:14" ht="12.75" customHeight="1" x14ac:dyDescent="0.2">
      <c r="A193" s="211">
        <v>38565</v>
      </c>
      <c r="B193" s="212">
        <v>120.34036699844104</v>
      </c>
      <c r="C193" s="212">
        <v>137.30810336869291</v>
      </c>
      <c r="D193" s="212">
        <v>101.7884858833561</v>
      </c>
      <c r="E193" s="212">
        <v>100.69669537541606</v>
      </c>
      <c r="F193" s="212">
        <v>140.97809181741647</v>
      </c>
      <c r="G193" s="212">
        <v>116.85691699963316</v>
      </c>
      <c r="I193" s="213"/>
      <c r="J193" s="213"/>
      <c r="K193" s="213"/>
      <c r="L193" s="213"/>
      <c r="M193" s="213"/>
      <c r="N193" s="213"/>
    </row>
    <row r="194" spans="1:14" ht="12.75" customHeight="1" x14ac:dyDescent="0.2">
      <c r="A194" s="211">
        <v>38596</v>
      </c>
      <c r="B194" s="212">
        <v>121.33163008602894</v>
      </c>
      <c r="C194" s="212">
        <v>137.99371963339127</v>
      </c>
      <c r="D194" s="212">
        <v>104.68054891071921</v>
      </c>
      <c r="E194" s="212">
        <v>102.60682328544064</v>
      </c>
      <c r="F194" s="212">
        <v>146.30255979284016</v>
      </c>
      <c r="G194" s="212">
        <v>118.7553831835728</v>
      </c>
      <c r="I194" s="213"/>
      <c r="J194" s="213"/>
      <c r="K194" s="213"/>
      <c r="L194" s="213"/>
      <c r="M194" s="213"/>
      <c r="N194" s="213"/>
    </row>
    <row r="195" spans="1:14" ht="12.75" customHeight="1" x14ac:dyDescent="0.2">
      <c r="A195" s="211">
        <v>38626</v>
      </c>
      <c r="B195" s="212">
        <v>120.1765645863085</v>
      </c>
      <c r="C195" s="212">
        <v>137.58318251386902</v>
      </c>
      <c r="D195" s="212">
        <v>107.11269540045043</v>
      </c>
      <c r="E195" s="212">
        <v>107.27393680770234</v>
      </c>
      <c r="F195" s="212">
        <v>157.81701925831558</v>
      </c>
      <c r="G195" s="212">
        <v>120.43670915410218</v>
      </c>
      <c r="I195" s="213"/>
      <c r="J195" s="213"/>
      <c r="K195" s="213"/>
      <c r="L195" s="213"/>
      <c r="M195" s="213"/>
      <c r="N195" s="213"/>
    </row>
    <row r="196" spans="1:14" ht="12.75" customHeight="1" x14ac:dyDescent="0.2">
      <c r="A196" s="211">
        <v>38657</v>
      </c>
      <c r="B196" s="212">
        <v>118.96545033317093</v>
      </c>
      <c r="C196" s="212">
        <v>136.72504174872495</v>
      </c>
      <c r="D196" s="212">
        <v>104.6989104908541</v>
      </c>
      <c r="E196" s="212">
        <v>105.02031821642291</v>
      </c>
      <c r="F196" s="212">
        <v>161.50430006793746</v>
      </c>
      <c r="G196" s="212">
        <v>119.16398959422446</v>
      </c>
      <c r="I196" s="213"/>
      <c r="J196" s="213"/>
      <c r="K196" s="213"/>
      <c r="L196" s="213"/>
      <c r="M196" s="213"/>
      <c r="N196" s="213"/>
    </row>
    <row r="197" spans="1:14" ht="12.75" customHeight="1" x14ac:dyDescent="0.2">
      <c r="A197" s="211">
        <v>38687</v>
      </c>
      <c r="B197" s="212">
        <v>120.2596551021104</v>
      </c>
      <c r="C197" s="212">
        <v>134.8841727467522</v>
      </c>
      <c r="D197" s="212">
        <v>107.09321647639059</v>
      </c>
      <c r="E197" s="212">
        <v>101.77091424759068</v>
      </c>
      <c r="F197" s="212">
        <v>189.36690848619239</v>
      </c>
      <c r="G197" s="212">
        <v>121.50366816223951</v>
      </c>
      <c r="I197" s="213"/>
      <c r="J197" s="213"/>
      <c r="K197" s="213"/>
      <c r="L197" s="213"/>
      <c r="M197" s="213"/>
      <c r="N197" s="213"/>
    </row>
    <row r="198" spans="1:14" ht="12.75" customHeight="1" x14ac:dyDescent="0.2">
      <c r="A198" s="211">
        <v>38718</v>
      </c>
      <c r="B198" s="212">
        <v>113.70258915022447</v>
      </c>
      <c r="C198" s="212">
        <v>130.30705987998118</v>
      </c>
      <c r="D198" s="212">
        <v>107.85426013066595</v>
      </c>
      <c r="E198" s="212">
        <v>102.18738567798773</v>
      </c>
      <c r="F198" s="212">
        <v>223.45754698579486</v>
      </c>
      <c r="G198" s="212">
        <v>121.18322845539254</v>
      </c>
      <c r="I198" s="213"/>
      <c r="J198" s="213"/>
      <c r="K198" s="213"/>
      <c r="L198" s="213"/>
      <c r="M198" s="213"/>
      <c r="N198" s="213"/>
    </row>
    <row r="199" spans="1:14" ht="12.75" customHeight="1" x14ac:dyDescent="0.2">
      <c r="A199" s="211">
        <v>38749</v>
      </c>
      <c r="B199" s="212">
        <v>116.54380408778088</v>
      </c>
      <c r="C199" s="212">
        <v>130.49032139974037</v>
      </c>
      <c r="D199" s="212">
        <v>111.56694204469696</v>
      </c>
      <c r="E199" s="212">
        <v>103.83798542006231</v>
      </c>
      <c r="F199" s="212">
        <v>254.64592002740218</v>
      </c>
      <c r="G199" s="212">
        <v>125.69090479902566</v>
      </c>
      <c r="I199" s="213"/>
      <c r="J199" s="213"/>
      <c r="K199" s="213"/>
      <c r="L199" s="213"/>
      <c r="M199" s="213"/>
      <c r="N199" s="213"/>
    </row>
    <row r="200" spans="1:14" ht="12.75" customHeight="1" x14ac:dyDescent="0.2">
      <c r="A200" s="211">
        <v>38777</v>
      </c>
      <c r="B200" s="212">
        <v>113.59214839686318</v>
      </c>
      <c r="C200" s="212">
        <v>128.03551580378249</v>
      </c>
      <c r="D200" s="212">
        <v>110.13143441319514</v>
      </c>
      <c r="E200" s="212">
        <v>104.00098224718239</v>
      </c>
      <c r="F200" s="212">
        <v>244.65405920909572</v>
      </c>
      <c r="G200" s="212">
        <v>123.16736849499921</v>
      </c>
      <c r="I200" s="213"/>
      <c r="J200" s="213"/>
      <c r="K200" s="213"/>
      <c r="L200" s="213"/>
      <c r="M200" s="213"/>
      <c r="N200" s="213"/>
    </row>
    <row r="201" spans="1:14" ht="12.75" customHeight="1" x14ac:dyDescent="0.2">
      <c r="A201" s="211">
        <v>38808</v>
      </c>
      <c r="B201" s="212">
        <v>116.72879440035575</v>
      </c>
      <c r="C201" s="212">
        <v>125.43472922722889</v>
      </c>
      <c r="D201" s="212">
        <v>112.17230354785917</v>
      </c>
      <c r="E201" s="212">
        <v>105.76875412000474</v>
      </c>
      <c r="F201" s="212">
        <v>248.1577743915847</v>
      </c>
      <c r="G201" s="212">
        <v>124.87737442562975</v>
      </c>
      <c r="I201" s="213"/>
      <c r="J201" s="213"/>
      <c r="K201" s="213"/>
      <c r="L201" s="213"/>
      <c r="M201" s="213"/>
      <c r="N201" s="213"/>
    </row>
    <row r="202" spans="1:14" ht="12.75" customHeight="1" x14ac:dyDescent="0.2">
      <c r="A202" s="211">
        <v>38838</v>
      </c>
      <c r="B202" s="212">
        <v>116.48490496241865</v>
      </c>
      <c r="C202" s="212">
        <v>124.90596616275185</v>
      </c>
      <c r="D202" s="212">
        <v>116.40805323215682</v>
      </c>
      <c r="E202" s="212">
        <v>108.73617231916202</v>
      </c>
      <c r="F202" s="212">
        <v>238.69528530424881</v>
      </c>
      <c r="G202" s="212">
        <v>125.59141400424859</v>
      </c>
      <c r="I202" s="213"/>
      <c r="J202" s="213"/>
      <c r="K202" s="213"/>
      <c r="L202" s="213"/>
      <c r="M202" s="213"/>
      <c r="N202" s="213"/>
    </row>
    <row r="203" spans="1:14" ht="12.75" customHeight="1" x14ac:dyDescent="0.2">
      <c r="A203" s="211">
        <v>38869</v>
      </c>
      <c r="B203" s="212">
        <v>119.11879134633429</v>
      </c>
      <c r="C203" s="212">
        <v>124.57266499413421</v>
      </c>
      <c r="D203" s="212">
        <v>115.77179594981155</v>
      </c>
      <c r="E203" s="212">
        <v>108.59135078247245</v>
      </c>
      <c r="F203" s="212">
        <v>218.52501645452986</v>
      </c>
      <c r="G203" s="212">
        <v>124.802452628618</v>
      </c>
      <c r="I203" s="213"/>
      <c r="J203" s="213"/>
      <c r="K203" s="213"/>
      <c r="L203" s="213"/>
      <c r="M203" s="213"/>
      <c r="N203" s="213"/>
    </row>
    <row r="204" spans="1:14" ht="12.75" customHeight="1" x14ac:dyDescent="0.2">
      <c r="A204" s="211">
        <v>38899</v>
      </c>
      <c r="B204" s="212">
        <v>120.50702803316607</v>
      </c>
      <c r="C204" s="212">
        <v>124.97161527651369</v>
      </c>
      <c r="D204" s="212">
        <v>120.08568043943519</v>
      </c>
      <c r="E204" s="212">
        <v>112.75297530166313</v>
      </c>
      <c r="F204" s="212">
        <v>227.75519734966872</v>
      </c>
      <c r="G204" s="212">
        <v>127.77703181526877</v>
      </c>
      <c r="I204" s="213"/>
      <c r="J204" s="213"/>
      <c r="K204" s="213"/>
      <c r="L204" s="213"/>
      <c r="M204" s="213"/>
      <c r="N204" s="213"/>
    </row>
    <row r="205" spans="1:14" ht="12.75" customHeight="1" x14ac:dyDescent="0.2">
      <c r="A205" s="211">
        <v>38930</v>
      </c>
      <c r="B205" s="212">
        <v>123.5824440786706</v>
      </c>
      <c r="C205" s="212">
        <v>123.18786996500546</v>
      </c>
      <c r="D205" s="212">
        <v>118.40683684412153</v>
      </c>
      <c r="E205" s="212">
        <v>117.04298787034027</v>
      </c>
      <c r="F205" s="212">
        <v>190.89112301229207</v>
      </c>
      <c r="G205" s="212">
        <v>126.03942076469822</v>
      </c>
      <c r="I205" s="213"/>
      <c r="J205" s="213"/>
      <c r="K205" s="213"/>
      <c r="L205" s="213"/>
      <c r="M205" s="213"/>
      <c r="N205" s="213"/>
    </row>
    <row r="206" spans="1:14" ht="12.75" customHeight="1" x14ac:dyDescent="0.2">
      <c r="A206" s="211">
        <v>38961</v>
      </c>
      <c r="B206" s="212">
        <v>122.84657631862545</v>
      </c>
      <c r="C206" s="212">
        <v>123.2717085023332</v>
      </c>
      <c r="D206" s="212">
        <v>123.04233891886147</v>
      </c>
      <c r="E206" s="212">
        <v>113.85815182642875</v>
      </c>
      <c r="F206" s="212">
        <v>171.4667892819412</v>
      </c>
      <c r="G206" s="212">
        <v>125.20430523916504</v>
      </c>
      <c r="I206" s="213"/>
      <c r="J206" s="213"/>
      <c r="K206" s="213"/>
      <c r="L206" s="213"/>
      <c r="M206" s="213"/>
      <c r="N206" s="213"/>
    </row>
    <row r="207" spans="1:14" ht="12.75" customHeight="1" x14ac:dyDescent="0.2">
      <c r="A207" s="211">
        <v>38991</v>
      </c>
      <c r="B207" s="212">
        <v>121.42965269078697</v>
      </c>
      <c r="C207" s="212">
        <v>125.86772095856651</v>
      </c>
      <c r="D207" s="212">
        <v>135.71566732164445</v>
      </c>
      <c r="E207" s="212">
        <v>115.65778074310194</v>
      </c>
      <c r="F207" s="212">
        <v>165.16928174831463</v>
      </c>
      <c r="G207" s="212">
        <v>128.38765728203029</v>
      </c>
      <c r="I207" s="213"/>
      <c r="J207" s="213"/>
      <c r="K207" s="213"/>
      <c r="L207" s="213"/>
      <c r="M207" s="213"/>
      <c r="N207" s="213"/>
    </row>
    <row r="208" spans="1:14" ht="12.75" customHeight="1" x14ac:dyDescent="0.2">
      <c r="A208" s="211">
        <v>39022</v>
      </c>
      <c r="B208" s="212">
        <v>119.40756624215294</v>
      </c>
      <c r="C208" s="212">
        <v>132.28854148594056</v>
      </c>
      <c r="D208" s="212">
        <v>144.54603526914374</v>
      </c>
      <c r="E208" s="212">
        <v>124.94864019797677</v>
      </c>
      <c r="F208" s="212">
        <v>167.14948128346958</v>
      </c>
      <c r="G208" s="212">
        <v>132.61682077248395</v>
      </c>
      <c r="I208" s="213"/>
      <c r="J208" s="213"/>
      <c r="K208" s="213"/>
      <c r="L208" s="213"/>
      <c r="M208" s="213"/>
      <c r="N208" s="213"/>
    </row>
    <row r="209" spans="1:14" ht="12.75" customHeight="1" x14ac:dyDescent="0.2">
      <c r="A209" s="211">
        <v>39052</v>
      </c>
      <c r="B209" s="212">
        <v>118.08105420660205</v>
      </c>
      <c r="C209" s="212">
        <v>142.15401360244152</v>
      </c>
      <c r="D209" s="212">
        <v>144.15192447631054</v>
      </c>
      <c r="E209" s="212">
        <v>132.17198918898063</v>
      </c>
      <c r="F209" s="212">
        <v>164.19592168519833</v>
      </c>
      <c r="G209" s="212">
        <v>134.51303557126067</v>
      </c>
      <c r="I209" s="213"/>
      <c r="J209" s="213"/>
      <c r="K209" s="213"/>
      <c r="L209" s="213"/>
      <c r="M209" s="213"/>
      <c r="N209" s="213"/>
    </row>
    <row r="210" spans="1:14" ht="12.75" customHeight="1" x14ac:dyDescent="0.2">
      <c r="A210" s="211">
        <v>39083</v>
      </c>
      <c r="B210" s="212">
        <v>116.83248361820091</v>
      </c>
      <c r="C210" s="212">
        <v>146.30028287517538</v>
      </c>
      <c r="D210" s="212">
        <v>143.97962263411642</v>
      </c>
      <c r="E210" s="212">
        <v>131.4096929769461</v>
      </c>
      <c r="F210" s="212">
        <v>155.36310144441418</v>
      </c>
      <c r="G210" s="212">
        <v>133.98295851686106</v>
      </c>
      <c r="I210" s="213"/>
      <c r="J210" s="213"/>
      <c r="K210" s="213"/>
      <c r="L210" s="213"/>
      <c r="M210" s="213"/>
      <c r="N210" s="213"/>
    </row>
    <row r="211" spans="1:14" ht="12.75" customHeight="1" x14ac:dyDescent="0.2">
      <c r="A211" s="211">
        <v>39114</v>
      </c>
      <c r="B211" s="212">
        <v>117.23376733999937</v>
      </c>
      <c r="C211" s="212">
        <v>153.07908559290925</v>
      </c>
      <c r="D211" s="212">
        <v>149.51938827698723</v>
      </c>
      <c r="E211" s="212">
        <v>132.66620614918097</v>
      </c>
      <c r="F211" s="212">
        <v>149.99205208635505</v>
      </c>
      <c r="G211" s="212">
        <v>136.55284056478763</v>
      </c>
      <c r="I211" s="213"/>
      <c r="J211" s="213"/>
      <c r="K211" s="213"/>
      <c r="L211" s="213"/>
      <c r="M211" s="213"/>
      <c r="N211" s="213"/>
    </row>
    <row r="212" spans="1:14" ht="12.75" customHeight="1" x14ac:dyDescent="0.2">
      <c r="A212" s="211">
        <v>39142</v>
      </c>
      <c r="B212" s="212">
        <v>117.23526043521882</v>
      </c>
      <c r="C212" s="212">
        <v>159.30468355347213</v>
      </c>
      <c r="D212" s="212">
        <v>148.20661297090629</v>
      </c>
      <c r="E212" s="212">
        <v>135.06530275523914</v>
      </c>
      <c r="F212" s="212">
        <v>148.1473059395976</v>
      </c>
      <c r="G212" s="212">
        <v>137.44749933707769</v>
      </c>
      <c r="I212" s="213"/>
      <c r="J212" s="213"/>
      <c r="K212" s="213"/>
      <c r="L212" s="213"/>
      <c r="M212" s="213"/>
      <c r="N212" s="213"/>
    </row>
    <row r="213" spans="1:14" ht="12.75" customHeight="1" x14ac:dyDescent="0.2">
      <c r="A213" s="211">
        <v>39173</v>
      </c>
      <c r="B213" s="212">
        <v>118.75999362986371</v>
      </c>
      <c r="C213" s="212">
        <v>175.70560860300654</v>
      </c>
      <c r="D213" s="212">
        <v>144.49879684797833</v>
      </c>
      <c r="E213" s="212">
        <v>147.33463476458911</v>
      </c>
      <c r="F213" s="212">
        <v>137.93025035755639</v>
      </c>
      <c r="G213" s="212">
        <v>140.72088908821866</v>
      </c>
      <c r="I213" s="213"/>
      <c r="J213" s="213"/>
      <c r="K213" s="213"/>
      <c r="L213" s="213"/>
      <c r="M213" s="213"/>
      <c r="N213" s="213"/>
    </row>
    <row r="214" spans="1:14" ht="12.75" customHeight="1" x14ac:dyDescent="0.2">
      <c r="A214" s="211">
        <v>39203</v>
      </c>
      <c r="B214" s="212">
        <v>122.68463771359967</v>
      </c>
      <c r="C214" s="212">
        <v>181.137892333889</v>
      </c>
      <c r="D214" s="212">
        <v>146.4889861128417</v>
      </c>
      <c r="E214" s="212">
        <v>158.66061123279519</v>
      </c>
      <c r="F214" s="212">
        <v>133.81504741478977</v>
      </c>
      <c r="G214" s="212">
        <v>144.84154826644291</v>
      </c>
      <c r="I214" s="213"/>
      <c r="J214" s="213"/>
      <c r="K214" s="213"/>
      <c r="L214" s="213"/>
      <c r="M214" s="213"/>
      <c r="N214" s="213"/>
    </row>
    <row r="215" spans="1:14" ht="12.75" customHeight="1" x14ac:dyDescent="0.2">
      <c r="A215" s="211">
        <v>39234</v>
      </c>
      <c r="B215" s="212">
        <v>126.31134417678096</v>
      </c>
      <c r="C215" s="212">
        <v>209.01905587926578</v>
      </c>
      <c r="D215" s="212">
        <v>155.17135139779455</v>
      </c>
      <c r="E215" s="212">
        <v>166.60542677166364</v>
      </c>
      <c r="F215" s="212">
        <v>131.82839771828176</v>
      </c>
      <c r="G215" s="212">
        <v>154.11328914439457</v>
      </c>
      <c r="I215" s="213"/>
      <c r="J215" s="213"/>
      <c r="K215" s="213"/>
      <c r="L215" s="213"/>
      <c r="M215" s="213"/>
      <c r="N215" s="213"/>
    </row>
    <row r="216" spans="1:14" ht="12.75" customHeight="1" x14ac:dyDescent="0.2">
      <c r="A216" s="211">
        <v>39264</v>
      </c>
      <c r="B216" s="212">
        <v>127.03569696705918</v>
      </c>
      <c r="C216" s="212">
        <v>234.08260704624033</v>
      </c>
      <c r="D216" s="212">
        <v>155.21781938257939</v>
      </c>
      <c r="E216" s="212">
        <v>172.24771243101048</v>
      </c>
      <c r="F216" s="212">
        <v>144.31591009633215</v>
      </c>
      <c r="G216" s="212">
        <v>160.27882342555029</v>
      </c>
      <c r="I216" s="213"/>
      <c r="J216" s="213"/>
      <c r="K216" s="213"/>
      <c r="L216" s="213"/>
      <c r="M216" s="213"/>
      <c r="N216" s="213"/>
    </row>
    <row r="217" spans="1:14" ht="12.75" customHeight="1" x14ac:dyDescent="0.2">
      <c r="A217" s="211">
        <v>39295</v>
      </c>
      <c r="B217" s="212">
        <v>130.0945323012765</v>
      </c>
      <c r="C217" s="212">
        <v>245.69844209389285</v>
      </c>
      <c r="D217" s="212">
        <v>165.81404032306273</v>
      </c>
      <c r="E217" s="212">
        <v>177.61671792662614</v>
      </c>
      <c r="F217" s="212">
        <v>139.14568510976778</v>
      </c>
      <c r="G217" s="212">
        <v>166.55155514859419</v>
      </c>
      <c r="I217" s="213"/>
      <c r="J217" s="213"/>
      <c r="K217" s="213"/>
      <c r="L217" s="213"/>
      <c r="M217" s="213"/>
      <c r="N217" s="213"/>
    </row>
    <row r="218" spans="1:14" ht="12.75" customHeight="1" x14ac:dyDescent="0.2">
      <c r="A218" s="211">
        <v>39326</v>
      </c>
      <c r="B218" s="212">
        <v>132.24155793343277</v>
      </c>
      <c r="C218" s="212">
        <v>252.41868099934459</v>
      </c>
      <c r="D218" s="212">
        <v>187.73965766970707</v>
      </c>
      <c r="E218" s="212">
        <v>185.92606780472985</v>
      </c>
      <c r="F218" s="212">
        <v>138.44309476542685</v>
      </c>
      <c r="G218" s="212">
        <v>175.50013164698802</v>
      </c>
      <c r="I218" s="213"/>
      <c r="J218" s="213"/>
      <c r="K218" s="213"/>
      <c r="L218" s="213"/>
      <c r="M218" s="213"/>
      <c r="N218" s="213"/>
    </row>
    <row r="219" spans="1:14" ht="12.75" customHeight="1" x14ac:dyDescent="0.2">
      <c r="A219" s="211">
        <v>39356</v>
      </c>
      <c r="B219" s="212">
        <v>128.28678440169489</v>
      </c>
      <c r="C219" s="212">
        <v>257.05942291769367</v>
      </c>
      <c r="D219" s="212">
        <v>193.93330591330133</v>
      </c>
      <c r="E219" s="212">
        <v>197.51952295926893</v>
      </c>
      <c r="F219" s="212">
        <v>141.91588918968128</v>
      </c>
      <c r="G219" s="212">
        <v>178.47783515243</v>
      </c>
      <c r="I219" s="213"/>
      <c r="J219" s="213"/>
      <c r="K219" s="213"/>
      <c r="L219" s="213"/>
      <c r="M219" s="213"/>
      <c r="N219" s="213"/>
    </row>
    <row r="220" spans="1:14" ht="12.75" customHeight="1" x14ac:dyDescent="0.2">
      <c r="A220" s="211">
        <v>39387</v>
      </c>
      <c r="B220" s="212">
        <v>132.81979069186548</v>
      </c>
      <c r="C220" s="212">
        <v>268.63151058389104</v>
      </c>
      <c r="D220" s="212">
        <v>196.48145396722362</v>
      </c>
      <c r="E220" s="212">
        <v>215.847191206069</v>
      </c>
      <c r="F220" s="212">
        <v>143.2871093606405</v>
      </c>
      <c r="G220" s="212">
        <v>185.3775855812267</v>
      </c>
      <c r="I220" s="213"/>
      <c r="J220" s="213"/>
      <c r="K220" s="213"/>
      <c r="L220" s="213"/>
      <c r="M220" s="213"/>
      <c r="N220" s="213"/>
    </row>
    <row r="221" spans="1:14" ht="12.75" customHeight="1" x14ac:dyDescent="0.2">
      <c r="A221" s="211">
        <v>39417</v>
      </c>
      <c r="B221" s="212">
        <v>131.71298140752944</v>
      </c>
      <c r="C221" s="212">
        <v>266.24291208831647</v>
      </c>
      <c r="D221" s="212">
        <v>215.77176583406242</v>
      </c>
      <c r="E221" s="212">
        <v>219.59556923487119</v>
      </c>
      <c r="F221" s="212">
        <v>151.95842984718399</v>
      </c>
      <c r="G221" s="212">
        <v>190.98410210972165</v>
      </c>
      <c r="I221" s="213"/>
      <c r="J221" s="213"/>
      <c r="K221" s="213"/>
      <c r="L221" s="213"/>
      <c r="M221" s="213"/>
      <c r="N221" s="213"/>
    </row>
    <row r="222" spans="1:14" ht="12.75" customHeight="1" x14ac:dyDescent="0.2">
      <c r="A222" s="211">
        <v>39448</v>
      </c>
      <c r="B222" s="212">
        <v>136.63716662250712</v>
      </c>
      <c r="C222" s="212">
        <v>255.74487968618601</v>
      </c>
      <c r="D222" s="212">
        <v>231.28317434793033</v>
      </c>
      <c r="E222" s="212">
        <v>243.28066104280629</v>
      </c>
      <c r="F222" s="212">
        <v>170.00045260118574</v>
      </c>
      <c r="G222" s="212">
        <v>199.79846423778497</v>
      </c>
      <c r="I222" s="213"/>
      <c r="J222" s="213"/>
      <c r="K222" s="213"/>
      <c r="L222" s="213"/>
      <c r="M222" s="213"/>
      <c r="N222" s="213"/>
    </row>
    <row r="223" spans="1:14" ht="12.75" customHeight="1" x14ac:dyDescent="0.2">
      <c r="A223" s="211">
        <v>39479</v>
      </c>
      <c r="B223" s="212">
        <v>137.79885162246808</v>
      </c>
      <c r="C223" s="212">
        <v>252.05959861484618</v>
      </c>
      <c r="D223" s="212">
        <v>271.37625374571951</v>
      </c>
      <c r="E223" s="212">
        <v>266.99073579324295</v>
      </c>
      <c r="F223" s="212">
        <v>191.71169571302335</v>
      </c>
      <c r="G223" s="212">
        <v>215.38789274359644</v>
      </c>
      <c r="I223" s="213"/>
      <c r="J223" s="213"/>
      <c r="K223" s="213"/>
      <c r="L223" s="213"/>
      <c r="M223" s="213"/>
      <c r="N223" s="213"/>
    </row>
    <row r="224" spans="1:14" ht="12.75" customHeight="1" x14ac:dyDescent="0.2">
      <c r="A224" s="211">
        <v>39508</v>
      </c>
      <c r="B224" s="212">
        <v>143.52723987799146</v>
      </c>
      <c r="C224" s="212">
        <v>248.69437121714145</v>
      </c>
      <c r="D224" s="212">
        <v>271.529921878344</v>
      </c>
      <c r="E224" s="212">
        <v>279.35848540383438</v>
      </c>
      <c r="F224" s="212">
        <v>187.3126856707556</v>
      </c>
      <c r="G224" s="212">
        <v>218.28860046350067</v>
      </c>
      <c r="I224" s="213"/>
      <c r="J224" s="213"/>
      <c r="K224" s="213"/>
      <c r="L224" s="213"/>
      <c r="M224" s="213"/>
      <c r="N224" s="213"/>
    </row>
    <row r="225" spans="1:14" ht="12.75" customHeight="1" x14ac:dyDescent="0.2">
      <c r="A225" s="211">
        <v>39539</v>
      </c>
      <c r="B225" s="212">
        <v>148.05278721840659</v>
      </c>
      <c r="C225" s="212">
        <v>241.74949670892963</v>
      </c>
      <c r="D225" s="212">
        <v>274.13433439491234</v>
      </c>
      <c r="E225" s="212">
        <v>269.46967685631864</v>
      </c>
      <c r="F225" s="212">
        <v>178.23730864807058</v>
      </c>
      <c r="G225" s="212">
        <v>217.34789244831313</v>
      </c>
      <c r="I225" s="213"/>
      <c r="J225" s="213"/>
      <c r="K225" s="213"/>
      <c r="L225" s="213"/>
      <c r="M225" s="213"/>
      <c r="N225" s="213"/>
    </row>
    <row r="226" spans="1:14" ht="12.75" customHeight="1" x14ac:dyDescent="0.2">
      <c r="A226" s="211">
        <v>39569</v>
      </c>
      <c r="B226" s="212">
        <v>157.78671123218791</v>
      </c>
      <c r="C226" s="212">
        <v>239.93828373503842</v>
      </c>
      <c r="D226" s="212">
        <v>266.80375813048266</v>
      </c>
      <c r="E226" s="212">
        <v>273.49755695739918</v>
      </c>
      <c r="F226" s="212">
        <v>171.29048487164562</v>
      </c>
      <c r="G226" s="212">
        <v>218.50423562821504</v>
      </c>
      <c r="I226" s="213"/>
      <c r="J226" s="213"/>
      <c r="K226" s="213"/>
      <c r="L226" s="213"/>
      <c r="M226" s="213"/>
      <c r="N226" s="213"/>
    </row>
    <row r="227" spans="1:14" ht="12.75" customHeight="1" x14ac:dyDescent="0.2">
      <c r="A227" s="211">
        <v>39600</v>
      </c>
      <c r="B227" s="212">
        <v>164.37186187132193</v>
      </c>
      <c r="C227" s="212">
        <v>240.64416862839769</v>
      </c>
      <c r="D227" s="212">
        <v>273.51214389193638</v>
      </c>
      <c r="E227" s="212">
        <v>284.8797544350644</v>
      </c>
      <c r="F227" s="212">
        <v>172.06143272851554</v>
      </c>
      <c r="G227" s="212">
        <v>224.39714179320339</v>
      </c>
      <c r="I227" s="213"/>
      <c r="J227" s="213"/>
      <c r="K227" s="213"/>
      <c r="L227" s="213"/>
      <c r="M227" s="213"/>
      <c r="N227" s="213"/>
    </row>
    <row r="228" spans="1:14" ht="12.75" customHeight="1" x14ac:dyDescent="0.2">
      <c r="A228" s="211">
        <v>39630</v>
      </c>
      <c r="B228" s="212">
        <v>168.1842672759914</v>
      </c>
      <c r="C228" s="212">
        <v>238.86387907290225</v>
      </c>
      <c r="D228" s="212">
        <v>256.49047184558526</v>
      </c>
      <c r="E228" s="212">
        <v>267.12413542472842</v>
      </c>
      <c r="F228" s="212">
        <v>201.92875129506453</v>
      </c>
      <c r="G228" s="212">
        <v>220.44257233755715</v>
      </c>
      <c r="I228" s="213"/>
      <c r="J228" s="213"/>
      <c r="K228" s="213"/>
      <c r="L228" s="213"/>
      <c r="M228" s="213"/>
      <c r="N228" s="213"/>
    </row>
    <row r="229" spans="1:14" ht="12.75" customHeight="1" x14ac:dyDescent="0.2">
      <c r="A229" s="211">
        <v>39661</v>
      </c>
      <c r="B229" s="212">
        <v>170.42079469631511</v>
      </c>
      <c r="C229" s="212">
        <v>227.21353048164906</v>
      </c>
      <c r="D229" s="212">
        <v>239.36331118484659</v>
      </c>
      <c r="E229" s="212">
        <v>223.71846459087769</v>
      </c>
      <c r="F229" s="212">
        <v>207.2737850023361</v>
      </c>
      <c r="G229" s="212">
        <v>208.85707715418741</v>
      </c>
      <c r="I229" s="213"/>
      <c r="J229" s="213"/>
      <c r="K229" s="213"/>
      <c r="L229" s="213"/>
      <c r="M229" s="213"/>
      <c r="N229" s="213"/>
    </row>
    <row r="230" spans="1:14" ht="12.75" customHeight="1" x14ac:dyDescent="0.2">
      <c r="A230" s="211">
        <v>39692</v>
      </c>
      <c r="B230" s="212">
        <v>169.84798495038069</v>
      </c>
      <c r="C230" s="212">
        <v>203.22832764063597</v>
      </c>
      <c r="D230" s="212">
        <v>225.75923455883756</v>
      </c>
      <c r="E230" s="212">
        <v>201.71768173673604</v>
      </c>
      <c r="F230" s="212">
        <v>192.00901743631022</v>
      </c>
      <c r="G230" s="212">
        <v>196.72891617113527</v>
      </c>
      <c r="I230" s="213"/>
      <c r="J230" s="213"/>
      <c r="K230" s="213"/>
      <c r="L230" s="213"/>
      <c r="M230" s="213"/>
      <c r="N230" s="213"/>
    </row>
    <row r="231" spans="1:14" ht="12.75" customHeight="1" x14ac:dyDescent="0.2">
      <c r="A231" s="211">
        <v>39722</v>
      </c>
      <c r="B231" s="212">
        <v>160.87034110421607</v>
      </c>
      <c r="C231" s="212">
        <v>184.96135490379837</v>
      </c>
      <c r="D231" s="212">
        <v>190.40445828683585</v>
      </c>
      <c r="E231" s="212">
        <v>154.23029355781833</v>
      </c>
      <c r="F231" s="212">
        <v>168.86522420318119</v>
      </c>
      <c r="G231" s="212">
        <v>172.5608892587764</v>
      </c>
      <c r="I231" s="213"/>
      <c r="J231" s="213"/>
      <c r="K231" s="213"/>
      <c r="L231" s="213"/>
      <c r="M231" s="213"/>
      <c r="N231" s="213"/>
    </row>
    <row r="232" spans="1:14" ht="12.75" customHeight="1" x14ac:dyDescent="0.2">
      <c r="A232" s="211">
        <v>39753</v>
      </c>
      <c r="B232" s="212">
        <v>146.04312485825585</v>
      </c>
      <c r="C232" s="212">
        <v>159.64891697047051</v>
      </c>
      <c r="D232" s="212">
        <v>178.16561426292276</v>
      </c>
      <c r="E232" s="212">
        <v>134.57648587661723</v>
      </c>
      <c r="F232" s="212">
        <v>171.70329519819262</v>
      </c>
      <c r="G232" s="212">
        <v>157.26869588506244</v>
      </c>
      <c r="I232" s="213"/>
      <c r="J232" s="213"/>
      <c r="K232" s="213"/>
      <c r="L232" s="213"/>
      <c r="M232" s="213"/>
      <c r="N232" s="213"/>
    </row>
    <row r="233" spans="1:14" ht="12.75" customHeight="1" x14ac:dyDescent="0.2">
      <c r="A233" s="211">
        <v>39783</v>
      </c>
      <c r="B233" s="212">
        <v>135.2676320813234</v>
      </c>
      <c r="C233" s="212">
        <v>142.02949296033125</v>
      </c>
      <c r="D233" s="212">
        <v>174.26049729701117</v>
      </c>
      <c r="E233" s="212">
        <v>127.33676315093447</v>
      </c>
      <c r="F233" s="212">
        <v>166.73667095692258</v>
      </c>
      <c r="G233" s="212">
        <v>148.12991288699331</v>
      </c>
      <c r="I233" s="213"/>
      <c r="J233" s="213"/>
      <c r="K233" s="213"/>
      <c r="L233" s="213"/>
      <c r="M233" s="213"/>
      <c r="N233" s="213"/>
    </row>
    <row r="234" spans="1:14" ht="12.75" customHeight="1" x14ac:dyDescent="0.2">
      <c r="A234" s="211">
        <v>39814</v>
      </c>
      <c r="B234" s="212">
        <v>126.37798029382081</v>
      </c>
      <c r="C234" s="212">
        <v>122.24918936217198</v>
      </c>
      <c r="D234" s="212">
        <v>184.53411367510989</v>
      </c>
      <c r="E234" s="212">
        <v>134.39522962544004</v>
      </c>
      <c r="F234" s="212">
        <v>177.52134073796609</v>
      </c>
      <c r="G234" s="212">
        <v>146.29214879285061</v>
      </c>
    </row>
    <row r="235" spans="1:14" ht="12.75" customHeight="1" x14ac:dyDescent="0.2">
      <c r="A235" s="211">
        <v>39845</v>
      </c>
      <c r="B235" s="212">
        <v>120.43309940636264</v>
      </c>
      <c r="C235" s="212">
        <v>114.30339075275326</v>
      </c>
      <c r="D235" s="212">
        <v>177.29940536445457</v>
      </c>
      <c r="E235" s="212">
        <v>131.76432476108982</v>
      </c>
      <c r="F235" s="212">
        <v>187.7383963200073</v>
      </c>
      <c r="G235" s="212">
        <v>141.29647359812404</v>
      </c>
    </row>
    <row r="236" spans="1:14" ht="12.75" customHeight="1" x14ac:dyDescent="0.2">
      <c r="A236" s="211">
        <v>39873</v>
      </c>
      <c r="B236" s="212">
        <v>124.12162349925117</v>
      </c>
      <c r="C236" s="212">
        <v>117.66792246480034</v>
      </c>
      <c r="D236" s="212">
        <v>177.72569685152945</v>
      </c>
      <c r="E236" s="212">
        <v>129.46043343701695</v>
      </c>
      <c r="F236" s="212">
        <v>190.15075666576703</v>
      </c>
      <c r="G236" s="212">
        <v>143.10479308328286</v>
      </c>
    </row>
    <row r="237" spans="1:14" ht="12.75" customHeight="1" x14ac:dyDescent="0.2">
      <c r="A237" s="211">
        <v>39904</v>
      </c>
      <c r="B237" s="212">
        <v>127.61356072446321</v>
      </c>
      <c r="C237" s="212">
        <v>117.38401025432866</v>
      </c>
      <c r="D237" s="212">
        <v>178.93159413944949</v>
      </c>
      <c r="E237" s="212">
        <v>147.80888267713351</v>
      </c>
      <c r="F237" s="212">
        <v>193.65577434460616</v>
      </c>
      <c r="G237" s="212">
        <v>147.44788725499083</v>
      </c>
    </row>
    <row r="238" spans="1:14" ht="12.75" customHeight="1" x14ac:dyDescent="0.2">
      <c r="A238" s="211">
        <v>39934</v>
      </c>
      <c r="B238" s="212">
        <v>133.38804206689701</v>
      </c>
      <c r="C238" s="212">
        <v>123.65954373666703</v>
      </c>
      <c r="D238" s="212">
        <v>185.46327203182551</v>
      </c>
      <c r="E238" s="212">
        <v>167.76704947182728</v>
      </c>
      <c r="F238" s="212">
        <v>227.83403265508576</v>
      </c>
      <c r="G238" s="212">
        <v>157.56849098624417</v>
      </c>
    </row>
    <row r="239" spans="1:14" ht="12.75" customHeight="1" x14ac:dyDescent="0.2">
      <c r="A239" s="211">
        <v>39965</v>
      </c>
      <c r="B239" s="212">
        <v>137.29941443481704</v>
      </c>
      <c r="C239" s="212">
        <v>122.83094922018893</v>
      </c>
      <c r="D239" s="212">
        <v>185.32569987441585</v>
      </c>
      <c r="E239" s="212">
        <v>160.56288336220126</v>
      </c>
      <c r="F239" s="212">
        <v>233.10883127207666</v>
      </c>
      <c r="G239" s="212">
        <v>158.11072139347499</v>
      </c>
    </row>
    <row r="240" spans="1:14" ht="12.75" customHeight="1" x14ac:dyDescent="0.2">
      <c r="A240" s="211">
        <v>39995</v>
      </c>
      <c r="B240" s="212">
        <v>139.54392732762503</v>
      </c>
      <c r="C240" s="212">
        <v>125.91849482343065</v>
      </c>
      <c r="D240" s="212">
        <v>167.04864043735782</v>
      </c>
      <c r="E240" s="212">
        <v>144.65138678238557</v>
      </c>
      <c r="F240" s="212">
        <v>261.47664089948648</v>
      </c>
      <c r="G240" s="212">
        <v>154.24010294447643</v>
      </c>
    </row>
    <row r="241" spans="1:9" ht="12.75" customHeight="1" x14ac:dyDescent="0.2">
      <c r="A241" s="211">
        <v>40026</v>
      </c>
      <c r="B241" s="212">
        <v>140.01627607727266</v>
      </c>
      <c r="C241" s="212">
        <v>129.29552184645743</v>
      </c>
      <c r="D241" s="212">
        <v>162.01135523148679</v>
      </c>
      <c r="E241" s="212">
        <v>157.31555954088296</v>
      </c>
      <c r="F241" s="212">
        <v>318.37007410205928</v>
      </c>
      <c r="G241" s="212">
        <v>159.49910202301584</v>
      </c>
    </row>
    <row r="242" spans="1:9" ht="12.75" customHeight="1" x14ac:dyDescent="0.2">
      <c r="A242" s="211">
        <v>40057</v>
      </c>
      <c r="B242" s="212">
        <v>138.44418900981358</v>
      </c>
      <c r="C242" s="212">
        <v>144.04168746383789</v>
      </c>
      <c r="D242" s="212">
        <v>157.69735415756284</v>
      </c>
      <c r="E242" s="212">
        <v>150.59064787693274</v>
      </c>
      <c r="F242" s="212">
        <v>326.91199206585441</v>
      </c>
      <c r="G242" s="212">
        <v>159.9183788692977</v>
      </c>
    </row>
    <row r="243" spans="1:9" ht="12.75" customHeight="1" x14ac:dyDescent="0.2">
      <c r="A243" s="211">
        <v>40087</v>
      </c>
      <c r="B243" s="212">
        <v>134.37270593337431</v>
      </c>
      <c r="C243" s="212">
        <v>157.54582898344134</v>
      </c>
      <c r="D243" s="212">
        <v>166.09979495702345</v>
      </c>
      <c r="E243" s="212">
        <v>152.87073582364314</v>
      </c>
      <c r="F243" s="212">
        <v>321.3276880874667</v>
      </c>
      <c r="G243" s="212">
        <v>162.96909741792513</v>
      </c>
    </row>
    <row r="244" spans="1:9" ht="12.75" customHeight="1" x14ac:dyDescent="0.2">
      <c r="A244" s="211">
        <v>40118</v>
      </c>
      <c r="B244" s="212">
        <v>137.5265948049107</v>
      </c>
      <c r="C244" s="212">
        <v>208.08983148510376</v>
      </c>
      <c r="D244" s="212">
        <v>170.90070537926997</v>
      </c>
      <c r="E244" s="212">
        <v>162.90198754859421</v>
      </c>
      <c r="F244" s="212">
        <v>315.92460292802434</v>
      </c>
      <c r="G244" s="212">
        <v>174.87180913275259</v>
      </c>
    </row>
    <row r="245" spans="1:9" ht="12.75" customHeight="1" x14ac:dyDescent="0.2">
      <c r="A245" s="211">
        <v>40148</v>
      </c>
      <c r="B245" s="212">
        <v>136.12120273248541</v>
      </c>
      <c r="C245" s="212">
        <v>215.61779727434958</v>
      </c>
      <c r="D245" s="212">
        <v>171.04098720678661</v>
      </c>
      <c r="E245" s="212">
        <v>170.58288277730233</v>
      </c>
      <c r="F245" s="212">
        <v>333.96355417661988</v>
      </c>
      <c r="G245" s="212">
        <v>178.07236190804414</v>
      </c>
    </row>
    <row r="246" spans="1:9" ht="12.75" customHeight="1" x14ac:dyDescent="0.2">
      <c r="A246" s="211">
        <v>40179</v>
      </c>
      <c r="B246" s="212">
        <v>140.47513999809976</v>
      </c>
      <c r="C246" s="212">
        <v>201.99855938795886</v>
      </c>
      <c r="D246" s="212">
        <v>170.24224230773203</v>
      </c>
      <c r="E246" s="212">
        <v>169.97460210043764</v>
      </c>
      <c r="F246" s="212">
        <v>375.53355405991493</v>
      </c>
      <c r="G246" s="212">
        <v>179.99571627044674</v>
      </c>
    </row>
    <row r="247" spans="1:9" ht="12.75" customHeight="1" x14ac:dyDescent="0.2">
      <c r="A247" s="211">
        <v>40210</v>
      </c>
      <c r="B247" s="212">
        <v>142.01018964888362</v>
      </c>
      <c r="C247" s="212">
        <v>191.35229037750398</v>
      </c>
      <c r="D247" s="212">
        <v>164.17350067296411</v>
      </c>
      <c r="E247" s="212">
        <v>170.20963536365383</v>
      </c>
      <c r="F247" s="212">
        <v>360.81815595078041</v>
      </c>
      <c r="G247" s="212">
        <v>176.06900608968351</v>
      </c>
    </row>
    <row r="248" spans="1:9" ht="12.75" customHeight="1" x14ac:dyDescent="0.2">
      <c r="A248" s="211">
        <v>40238</v>
      </c>
      <c r="B248" s="212">
        <v>144.84932738857358</v>
      </c>
      <c r="C248" s="212">
        <v>187.40499763915005</v>
      </c>
      <c r="D248" s="212">
        <v>157.7263959586829</v>
      </c>
      <c r="E248" s="212">
        <v>175.79059437080383</v>
      </c>
      <c r="F248" s="212">
        <v>264.82287243233998</v>
      </c>
      <c r="G248" s="212">
        <v>168.51131675696951</v>
      </c>
    </row>
    <row r="249" spans="1:9" ht="12.75" customHeight="1" x14ac:dyDescent="0.2">
      <c r="A249" s="211">
        <v>40269</v>
      </c>
      <c r="B249" s="212">
        <v>150.8316758836981</v>
      </c>
      <c r="C249" s="212">
        <v>204.25218643230042</v>
      </c>
      <c r="D249" s="212">
        <v>154.80266461473462</v>
      </c>
      <c r="E249" s="212">
        <v>174.4515669735689</v>
      </c>
      <c r="F249" s="212">
        <v>233.42458202779869</v>
      </c>
      <c r="G249" s="212">
        <v>170.16587605730604</v>
      </c>
    </row>
    <row r="250" spans="1:9" ht="12.75" customHeight="1" x14ac:dyDescent="0.2">
      <c r="A250" s="211">
        <v>40299</v>
      </c>
      <c r="B250" s="212">
        <v>151.70424941662588</v>
      </c>
      <c r="C250" s="212">
        <v>209.16666641710475</v>
      </c>
      <c r="D250" s="212">
        <v>155.08503764351278</v>
      </c>
      <c r="E250" s="212">
        <v>171.26542003544955</v>
      </c>
      <c r="F250" s="212">
        <v>215.72177633082021</v>
      </c>
      <c r="G250" s="212">
        <v>169.64170430464134</v>
      </c>
      <c r="I250" s="214"/>
    </row>
    <row r="251" spans="1:9" ht="12.75" customHeight="1" x14ac:dyDescent="0.2">
      <c r="A251" s="211">
        <v>40330</v>
      </c>
      <c r="B251" s="212">
        <v>152.44503849310087</v>
      </c>
      <c r="C251" s="212">
        <v>203.14020878978945</v>
      </c>
      <c r="D251" s="212">
        <v>151.18072511367782</v>
      </c>
      <c r="E251" s="212">
        <v>169.33347041289997</v>
      </c>
      <c r="F251" s="212">
        <v>224.94292700006645</v>
      </c>
      <c r="G251" s="212">
        <v>168.22037930715612</v>
      </c>
      <c r="I251" s="214"/>
    </row>
    <row r="252" spans="1:9" ht="12.75" customHeight="1" x14ac:dyDescent="0.2">
      <c r="A252" s="211">
        <v>40360</v>
      </c>
      <c r="B252" s="212">
        <v>151.04659413750872</v>
      </c>
      <c r="C252" s="212">
        <v>197.8453104599167</v>
      </c>
      <c r="D252" s="212">
        <v>163.30580215652401</v>
      </c>
      <c r="E252" s="212">
        <v>175.78683308326285</v>
      </c>
      <c r="F252" s="212">
        <v>247.36368786065691</v>
      </c>
      <c r="G252" s="212">
        <v>172.66830259948921</v>
      </c>
      <c r="I252" s="214"/>
    </row>
    <row r="253" spans="1:9" ht="12.75" customHeight="1" x14ac:dyDescent="0.2">
      <c r="A253" s="211">
        <v>40391</v>
      </c>
      <c r="B253" s="212">
        <v>155.50995358963377</v>
      </c>
      <c r="C253" s="212">
        <v>192.94065894273996</v>
      </c>
      <c r="D253" s="212">
        <v>185.22527796669166</v>
      </c>
      <c r="E253" s="212">
        <v>193.77927680412142</v>
      </c>
      <c r="F253" s="212">
        <v>262.70217155642337</v>
      </c>
      <c r="G253" s="212">
        <v>182.99846275822412</v>
      </c>
      <c r="I253" s="214"/>
    </row>
    <row r="254" spans="1:9" ht="12.75" customHeight="1" x14ac:dyDescent="0.2">
      <c r="A254" s="211">
        <v>40422</v>
      </c>
      <c r="B254" s="212">
        <v>153.42927684569588</v>
      </c>
      <c r="C254" s="212">
        <v>198.37643141737144</v>
      </c>
      <c r="D254" s="212">
        <v>208.30938262437695</v>
      </c>
      <c r="E254" s="212">
        <v>198.99893078444723</v>
      </c>
      <c r="F254" s="212">
        <v>318.08970708861256</v>
      </c>
      <c r="G254" s="212">
        <v>194.18529065523586</v>
      </c>
      <c r="I254" s="214"/>
    </row>
    <row r="255" spans="1:9" ht="12.75" customHeight="1" x14ac:dyDescent="0.2">
      <c r="A255" s="211">
        <v>40452</v>
      </c>
      <c r="B255" s="212">
        <v>157.76809168148947</v>
      </c>
      <c r="C255" s="212">
        <v>202.60682970125296</v>
      </c>
      <c r="D255" s="212">
        <v>219.93047524055467</v>
      </c>
      <c r="E255" s="212">
        <v>221.54270312635171</v>
      </c>
      <c r="F255" s="212">
        <v>349.28545174319464</v>
      </c>
      <c r="G255" s="212">
        <v>204.99676528205106</v>
      </c>
      <c r="I255" s="214"/>
    </row>
    <row r="256" spans="1:9" ht="12.75" customHeight="1" x14ac:dyDescent="0.2">
      <c r="A256" s="211">
        <v>40483</v>
      </c>
      <c r="B256" s="212">
        <v>160.780435750604</v>
      </c>
      <c r="C256" s="212">
        <v>207.79065163453708</v>
      </c>
      <c r="D256" s="212">
        <v>223.3315391477324</v>
      </c>
      <c r="E256" s="212">
        <v>244.79628773279575</v>
      </c>
      <c r="F256" s="212">
        <v>373.36758987781297</v>
      </c>
      <c r="G256" s="212">
        <v>212.86415679435791</v>
      </c>
      <c r="I256" s="214"/>
    </row>
    <row r="257" spans="1:10" ht="12.75" customHeight="1" x14ac:dyDescent="0.2">
      <c r="A257" s="211">
        <v>40513</v>
      </c>
      <c r="B257" s="212">
        <v>166.07283790312766</v>
      </c>
      <c r="C257" s="212">
        <v>208.36256055608993</v>
      </c>
      <c r="D257" s="212">
        <v>237.7788059910724</v>
      </c>
      <c r="E257" s="212">
        <v>264.4560587293584</v>
      </c>
      <c r="F257" s="212">
        <v>398.4318512140137</v>
      </c>
      <c r="G257" s="212">
        <v>223.3098879283188</v>
      </c>
      <c r="I257" s="214"/>
    </row>
    <row r="258" spans="1:10" ht="12.75" customHeight="1" x14ac:dyDescent="0.2">
      <c r="A258" s="211">
        <v>40554</v>
      </c>
      <c r="B258" s="212">
        <v>166.84081064411217</v>
      </c>
      <c r="C258" s="212">
        <v>221.25256838910033</v>
      </c>
      <c r="D258" s="212">
        <v>244.81039004220668</v>
      </c>
      <c r="E258" s="212">
        <v>279.44492244407184</v>
      </c>
      <c r="F258" s="212">
        <v>420.16222045646981</v>
      </c>
      <c r="G258" s="212">
        <v>231.33532663195527</v>
      </c>
      <c r="I258" s="214"/>
    </row>
    <row r="259" spans="1:10" ht="12.75" customHeight="1" x14ac:dyDescent="0.2">
      <c r="A259" s="211">
        <v>40585</v>
      </c>
      <c r="B259" s="212">
        <v>170.53123953389152</v>
      </c>
      <c r="C259" s="212">
        <v>230.03938163807854</v>
      </c>
      <c r="D259" s="212">
        <v>258.60000348311485</v>
      </c>
      <c r="E259" s="212">
        <v>281.09811095920446</v>
      </c>
      <c r="F259" s="212">
        <v>418.19722972281863</v>
      </c>
      <c r="G259" s="212">
        <v>237.92472647018465</v>
      </c>
      <c r="I259" s="214"/>
    </row>
    <row r="260" spans="1:10" ht="12.75" customHeight="1" x14ac:dyDescent="0.2">
      <c r="A260" s="211">
        <v>40613</v>
      </c>
      <c r="B260" s="212">
        <v>174.53989274300156</v>
      </c>
      <c r="C260" s="212">
        <v>234.35320095931701</v>
      </c>
      <c r="D260" s="212">
        <v>251.22258443274924</v>
      </c>
      <c r="E260" s="212">
        <v>261.66364737798017</v>
      </c>
      <c r="F260" s="212">
        <v>372.33023566728463</v>
      </c>
      <c r="G260" s="212">
        <v>231.97834085171851</v>
      </c>
      <c r="I260" s="214"/>
    </row>
    <row r="261" spans="1:10" ht="12.75" customHeight="1" x14ac:dyDescent="0.2">
      <c r="A261" s="211">
        <v>40644</v>
      </c>
      <c r="B261" s="212">
        <v>180.39184201251359</v>
      </c>
      <c r="C261" s="212">
        <v>228.69830486119454</v>
      </c>
      <c r="D261" s="212">
        <v>265.38086187245403</v>
      </c>
      <c r="E261" s="212">
        <v>260.92213497069798</v>
      </c>
      <c r="F261" s="212">
        <v>345.65001794482276</v>
      </c>
      <c r="G261" s="212">
        <v>234.87584906892647</v>
      </c>
      <c r="I261" s="215"/>
      <c r="J261" s="215"/>
    </row>
    <row r="262" spans="1:10" ht="12.75" customHeight="1" x14ac:dyDescent="0.2">
      <c r="A262" s="211">
        <v>40674</v>
      </c>
      <c r="B262" s="212">
        <v>180.0089339649812</v>
      </c>
      <c r="C262" s="212">
        <v>231.05462026791659</v>
      </c>
      <c r="D262" s="212">
        <v>261.25405096199762</v>
      </c>
      <c r="E262" s="212">
        <v>260.89864546313851</v>
      </c>
      <c r="F262" s="212">
        <v>312.22006025802085</v>
      </c>
      <c r="G262" s="212">
        <v>231.60393616435465</v>
      </c>
      <c r="I262" s="214"/>
    </row>
    <row r="263" spans="1:10" ht="12.75" customHeight="1" x14ac:dyDescent="0.2">
      <c r="A263" s="211">
        <v>40705</v>
      </c>
      <c r="B263" s="212">
        <v>178.05360892439177</v>
      </c>
      <c r="C263" s="212">
        <v>231.6104182765213</v>
      </c>
      <c r="D263" s="212">
        <v>259.04848689614948</v>
      </c>
      <c r="E263" s="212">
        <v>258.97418683564746</v>
      </c>
      <c r="F263" s="212">
        <v>357.68079746902231</v>
      </c>
      <c r="G263" s="212">
        <v>233.42530361709092</v>
      </c>
      <c r="I263" s="214"/>
    </row>
    <row r="264" spans="1:10" ht="12.75" customHeight="1" x14ac:dyDescent="0.2">
      <c r="A264" s="211">
        <v>40735</v>
      </c>
      <c r="B264" s="212">
        <v>176.50486810700883</v>
      </c>
      <c r="C264" s="212">
        <v>227.81836449086774</v>
      </c>
      <c r="D264" s="212">
        <v>247.16303095388807</v>
      </c>
      <c r="E264" s="212">
        <v>252.89134056545265</v>
      </c>
      <c r="F264" s="212">
        <v>400.4045162128653</v>
      </c>
      <c r="G264" s="212">
        <v>231.24568964733797</v>
      </c>
      <c r="I264" s="214"/>
    </row>
    <row r="265" spans="1:10" ht="12.75" customHeight="1" x14ac:dyDescent="0.2">
      <c r="A265" s="211">
        <v>40766</v>
      </c>
      <c r="B265" s="212">
        <v>178.5603729878639</v>
      </c>
      <c r="C265" s="212">
        <v>220.6262509552443</v>
      </c>
      <c r="D265" s="212">
        <v>252.38250300440481</v>
      </c>
      <c r="E265" s="212">
        <v>245.26683288783912</v>
      </c>
      <c r="F265" s="212">
        <v>393.73093622821864</v>
      </c>
      <c r="G265" s="212">
        <v>230.60934488556825</v>
      </c>
      <c r="I265" s="214"/>
    </row>
    <row r="266" spans="1:10" ht="12.75" customHeight="1" x14ac:dyDescent="0.2">
      <c r="A266" s="211">
        <v>40797</v>
      </c>
      <c r="B266" s="212">
        <v>177.30044817939185</v>
      </c>
      <c r="C266" s="212">
        <v>214.6879364203476</v>
      </c>
      <c r="D266" s="212">
        <v>244.32517534847659</v>
      </c>
      <c r="E266" s="212">
        <v>239.37121793703139</v>
      </c>
      <c r="F266" s="212">
        <v>378.95342960890355</v>
      </c>
      <c r="G266" s="212">
        <v>225.08913680020703</v>
      </c>
      <c r="I266" s="214"/>
    </row>
    <row r="267" spans="1:10" ht="12.75" customHeight="1" x14ac:dyDescent="0.2">
      <c r="A267" s="211">
        <v>40827</v>
      </c>
      <c r="B267" s="212">
        <v>176.05221019402393</v>
      </c>
      <c r="C267" s="212">
        <v>203.52961038575791</v>
      </c>
      <c r="D267" s="212">
        <v>231.31334053595211</v>
      </c>
      <c r="E267" s="212">
        <v>224.31804545306849</v>
      </c>
      <c r="F267" s="212">
        <v>361.17832067467123</v>
      </c>
      <c r="G267" s="212">
        <v>215.8403686116967</v>
      </c>
      <c r="I267" s="214"/>
    </row>
    <row r="268" spans="1:10" ht="12.75" customHeight="1" x14ac:dyDescent="0.2">
      <c r="A268" s="211">
        <v>40858</v>
      </c>
      <c r="B268" s="212">
        <v>181.05089213317947</v>
      </c>
      <c r="C268" s="212">
        <v>200.9785411189394</v>
      </c>
      <c r="D268" s="212">
        <v>228.84110170504474</v>
      </c>
      <c r="E268" s="212">
        <v>234.84040797735264</v>
      </c>
      <c r="F268" s="212">
        <v>339.89770262073466</v>
      </c>
      <c r="G268" s="212">
        <v>216.43287362090223</v>
      </c>
      <c r="I268" s="214"/>
    </row>
    <row r="269" spans="1:10" ht="12.75" customHeight="1" x14ac:dyDescent="0.2">
      <c r="A269" s="211">
        <v>40878</v>
      </c>
      <c r="B269" s="212">
        <v>178.81257332861281</v>
      </c>
      <c r="C269" s="212">
        <v>201.68903958777946</v>
      </c>
      <c r="D269" s="212">
        <v>217.63881312464576</v>
      </c>
      <c r="E269" s="212">
        <v>227.47218237917872</v>
      </c>
      <c r="F269" s="212">
        <v>326.91649694044969</v>
      </c>
      <c r="G269" s="212">
        <v>210.75510863050846</v>
      </c>
      <c r="I269" s="214"/>
    </row>
    <row r="270" spans="1:10" ht="12.75" customHeight="1" x14ac:dyDescent="0.2">
      <c r="A270" s="211">
        <v>40909</v>
      </c>
      <c r="B270" s="212">
        <v>174.23699396940532</v>
      </c>
      <c r="C270" s="212">
        <v>206.76809448983039</v>
      </c>
      <c r="D270" s="212">
        <v>222.71152295641969</v>
      </c>
      <c r="E270" s="212">
        <v>233.74196397023076</v>
      </c>
      <c r="F270" s="212">
        <v>334.30449127666992</v>
      </c>
      <c r="G270" s="212">
        <v>212.81501755691392</v>
      </c>
      <c r="I270" s="214"/>
    </row>
    <row r="271" spans="1:10" ht="12.75" customHeight="1" x14ac:dyDescent="0.2">
      <c r="A271" s="211">
        <v>40940</v>
      </c>
      <c r="B271" s="212">
        <v>178.1191016344184</v>
      </c>
      <c r="C271" s="212">
        <v>202.0472689932003</v>
      </c>
      <c r="D271" s="212">
        <v>226.30042988939749</v>
      </c>
      <c r="E271" s="212">
        <v>238.73788979576904</v>
      </c>
      <c r="F271" s="212">
        <v>342.29163393405935</v>
      </c>
      <c r="G271" s="212">
        <v>215.62898507068039</v>
      </c>
      <c r="I271" s="214"/>
    </row>
    <row r="272" spans="1:10" ht="12.75" customHeight="1" x14ac:dyDescent="0.2">
      <c r="A272" s="211">
        <v>40969</v>
      </c>
      <c r="B272" s="212">
        <v>177.99623670651022</v>
      </c>
      <c r="C272" s="212">
        <v>196.98757715520296</v>
      </c>
      <c r="D272" s="212">
        <v>227.76432730525752</v>
      </c>
      <c r="E272" s="212">
        <v>244.93006775562597</v>
      </c>
      <c r="F272" s="212">
        <v>341.94455382319757</v>
      </c>
      <c r="G272" s="212">
        <v>215.98711526790046</v>
      </c>
      <c r="I272" s="214"/>
    </row>
    <row r="273" spans="1:10" ht="12.75" customHeight="1" x14ac:dyDescent="0.2">
      <c r="A273" s="211">
        <v>41000</v>
      </c>
      <c r="B273" s="212">
        <v>179.59416292080732</v>
      </c>
      <c r="C273" s="212">
        <v>185.6412927638693</v>
      </c>
      <c r="D273" s="212">
        <v>223.29749534672345</v>
      </c>
      <c r="E273" s="212">
        <v>250.95109136275337</v>
      </c>
      <c r="F273" s="212">
        <v>323.96580408055684</v>
      </c>
      <c r="G273" s="212">
        <v>212.98358695556476</v>
      </c>
      <c r="I273" s="215"/>
      <c r="J273" s="215"/>
    </row>
    <row r="274" spans="1:10" ht="12.75" customHeight="1" x14ac:dyDescent="0.2">
      <c r="A274" s="211">
        <v>41030</v>
      </c>
      <c r="B274" s="212">
        <v>175.0030610794702</v>
      </c>
      <c r="C274" s="212">
        <v>176.07945102915292</v>
      </c>
      <c r="D274" s="212">
        <v>221.26176737451044</v>
      </c>
      <c r="E274" s="212">
        <v>233.84392205135507</v>
      </c>
      <c r="F274" s="212">
        <v>294.58501197029545</v>
      </c>
      <c r="G274" s="212">
        <v>204.69276344161401</v>
      </c>
      <c r="I274" s="216"/>
      <c r="J274" s="215"/>
    </row>
    <row r="275" spans="1:10" ht="12.75" customHeight="1" x14ac:dyDescent="0.2">
      <c r="A275" s="211">
        <v>41061</v>
      </c>
      <c r="B275" s="212">
        <v>169.51437418998171</v>
      </c>
      <c r="C275" s="212">
        <v>173.39096388219804</v>
      </c>
      <c r="D275" s="212">
        <v>222.05717887870532</v>
      </c>
      <c r="E275" s="212">
        <v>220.71201243311057</v>
      </c>
      <c r="F275" s="212">
        <v>290.43602246806444</v>
      </c>
      <c r="G275" s="212">
        <v>200.3933319557693</v>
      </c>
      <c r="I275" s="216"/>
      <c r="J275" s="215"/>
    </row>
    <row r="276" spans="1:10" ht="12.75" customHeight="1" x14ac:dyDescent="0.2">
      <c r="A276" s="211">
        <v>41091</v>
      </c>
      <c r="B276" s="212">
        <v>166.54865428633988</v>
      </c>
      <c r="C276" s="212">
        <v>172.92083044711322</v>
      </c>
      <c r="D276" s="212">
        <v>259.96254172715237</v>
      </c>
      <c r="E276" s="212">
        <v>226.08022604191817</v>
      </c>
      <c r="F276" s="212">
        <v>324.29927742247065</v>
      </c>
      <c r="G276" s="212">
        <v>212.77395675919686</v>
      </c>
      <c r="I276" s="216"/>
      <c r="J276" s="215"/>
    </row>
    <row r="277" spans="1:10" ht="12.75" customHeight="1" x14ac:dyDescent="0.2">
      <c r="A277" s="217">
        <v>41122</v>
      </c>
      <c r="B277" s="218">
        <v>170.27371050175537</v>
      </c>
      <c r="C277" s="218">
        <v>175.63497665422611</v>
      </c>
      <c r="D277" s="218">
        <v>260.30423296471383</v>
      </c>
      <c r="E277" s="218">
        <v>225.96756327850537</v>
      </c>
      <c r="F277" s="218">
        <v>296.63002026951472</v>
      </c>
      <c r="G277" s="218">
        <v>212.60400986910247</v>
      </c>
      <c r="I277" s="216"/>
      <c r="J277" s="215"/>
    </row>
    <row r="279" spans="1:10" ht="12.75" customHeight="1" x14ac:dyDescent="0.2">
      <c r="A279" s="290" t="s">
        <v>196</v>
      </c>
      <c r="B279" s="290"/>
      <c r="C279" s="290"/>
      <c r="D279" s="290"/>
      <c r="E279" s="290"/>
      <c r="F279" s="290"/>
      <c r="G279" s="290"/>
    </row>
    <row r="280" spans="1:10" ht="12.75" customHeight="1" x14ac:dyDescent="0.2">
      <c r="A280" s="290"/>
      <c r="B280" s="290"/>
      <c r="C280" s="290"/>
      <c r="D280" s="290"/>
      <c r="E280" s="290"/>
      <c r="F280" s="290"/>
      <c r="G280" s="290"/>
    </row>
    <row r="282" spans="1:10" ht="12.75" customHeight="1" x14ac:dyDescent="0.2">
      <c r="A282" s="259" t="s">
        <v>164</v>
      </c>
      <c r="B282" s="259"/>
      <c r="C282" s="259"/>
      <c r="D282" s="259"/>
      <c r="E282" s="259"/>
      <c r="F282" s="259"/>
      <c r="G282" s="259"/>
    </row>
    <row r="283" spans="1:10" ht="12.75" customHeight="1" x14ac:dyDescent="0.2">
      <c r="A283" s="259"/>
      <c r="B283" s="259"/>
      <c r="C283" s="259"/>
      <c r="D283" s="259"/>
      <c r="E283" s="259"/>
      <c r="F283" s="259"/>
      <c r="G283" s="259"/>
    </row>
    <row r="284" spans="1:10" ht="15" customHeight="1" x14ac:dyDescent="0.2">
      <c r="A284" s="259"/>
      <c r="B284" s="259"/>
      <c r="C284" s="259"/>
      <c r="D284" s="259"/>
      <c r="E284" s="259"/>
      <c r="F284" s="259"/>
      <c r="G284" s="259"/>
    </row>
  </sheetData>
  <mergeCells count="3">
    <mergeCell ref="B4:G4"/>
    <mergeCell ref="A279:G280"/>
    <mergeCell ref="A282:G284"/>
  </mergeCells>
  <printOptions horizontalCentered="1"/>
  <pageMargins left="0.25" right="0.25" top="0.75" bottom="0.75" header="0.3" footer="0.3"/>
  <pageSetup scale="74" orientation="portrait" r:id="rId1"/>
  <headerFooter alignWithMargins="0"/>
  <rowBreaks count="1" manualBreakCount="1">
    <brk id="7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L79"/>
  <sheetViews>
    <sheetView zoomScaleNormal="100" zoomScaleSheetLayoutView="100" workbookViewId="0"/>
  </sheetViews>
  <sheetFormatPr defaultColWidth="8.85546875" defaultRowHeight="15" x14ac:dyDescent="0.25"/>
  <cols>
    <col min="1" max="1" width="31.28515625" style="27" customWidth="1"/>
    <col min="2" max="4" width="19.28515625" style="27" customWidth="1"/>
  </cols>
  <sheetData>
    <row r="1" spans="1:4" x14ac:dyDescent="0.25">
      <c r="A1" s="22" t="s">
        <v>114</v>
      </c>
      <c r="B1" s="54"/>
      <c r="C1" s="54"/>
      <c r="D1" s="54"/>
    </row>
    <row r="2" spans="1:4" x14ac:dyDescent="0.25">
      <c r="A2" s="54"/>
      <c r="B2" s="54"/>
      <c r="C2" s="54"/>
      <c r="D2" s="54"/>
    </row>
    <row r="3" spans="1:4" ht="27.75" x14ac:dyDescent="0.25">
      <c r="A3" s="197" t="s">
        <v>144</v>
      </c>
      <c r="B3" s="198" t="s">
        <v>145</v>
      </c>
      <c r="C3" s="198" t="s">
        <v>146</v>
      </c>
      <c r="D3" s="198" t="s">
        <v>147</v>
      </c>
    </row>
    <row r="4" spans="1:4" x14ac:dyDescent="0.25">
      <c r="A4" s="28"/>
      <c r="B4" s="55"/>
      <c r="C4" s="55"/>
      <c r="D4" s="55"/>
    </row>
    <row r="5" spans="1:4" x14ac:dyDescent="0.25">
      <c r="A5" s="28" t="s">
        <v>36</v>
      </c>
      <c r="B5" s="55" t="s">
        <v>148</v>
      </c>
      <c r="C5" s="55" t="s">
        <v>148</v>
      </c>
      <c r="D5" s="56" t="s">
        <v>148</v>
      </c>
    </row>
    <row r="6" spans="1:4" x14ac:dyDescent="0.25">
      <c r="A6" s="28" t="s">
        <v>28</v>
      </c>
      <c r="B6" s="55"/>
      <c r="C6" s="55" t="s">
        <v>148</v>
      </c>
      <c r="D6" s="55"/>
    </row>
    <row r="7" spans="1:4" x14ac:dyDescent="0.25">
      <c r="A7" s="28" t="s">
        <v>149</v>
      </c>
      <c r="B7" s="55"/>
      <c r="C7" s="55" t="s">
        <v>148</v>
      </c>
      <c r="D7" s="55"/>
    </row>
    <row r="8" spans="1:4" x14ac:dyDescent="0.25">
      <c r="A8" s="28" t="s">
        <v>120</v>
      </c>
      <c r="B8" s="55"/>
      <c r="C8" s="55" t="s">
        <v>148</v>
      </c>
      <c r="D8" s="55"/>
    </row>
    <row r="9" spans="1:4" x14ac:dyDescent="0.25">
      <c r="A9" s="28" t="s">
        <v>150</v>
      </c>
      <c r="B9" s="55"/>
      <c r="C9" s="55" t="s">
        <v>148</v>
      </c>
      <c r="D9" s="55"/>
    </row>
    <row r="10" spans="1:4" x14ac:dyDescent="0.25">
      <c r="A10" s="28" t="s">
        <v>151</v>
      </c>
      <c r="B10" s="55" t="s">
        <v>148</v>
      </c>
      <c r="C10" s="55" t="s">
        <v>148</v>
      </c>
      <c r="D10" s="55"/>
    </row>
    <row r="11" spans="1:4" x14ac:dyDescent="0.25">
      <c r="A11" s="28" t="s">
        <v>152</v>
      </c>
      <c r="B11" s="55"/>
      <c r="C11" s="55" t="s">
        <v>148</v>
      </c>
      <c r="D11" s="55"/>
    </row>
    <row r="12" spans="1:4" x14ac:dyDescent="0.25">
      <c r="A12" s="28" t="s">
        <v>153</v>
      </c>
      <c r="B12" s="55"/>
      <c r="C12" s="55" t="s">
        <v>148</v>
      </c>
      <c r="D12" s="56" t="s">
        <v>148</v>
      </c>
    </row>
    <row r="13" spans="1:4" x14ac:dyDescent="0.25">
      <c r="A13" s="28" t="s">
        <v>33</v>
      </c>
      <c r="B13" s="55" t="s">
        <v>148</v>
      </c>
      <c r="C13" s="55"/>
      <c r="D13" s="55"/>
    </row>
    <row r="14" spans="1:4" x14ac:dyDescent="0.25">
      <c r="A14" s="28" t="s">
        <v>154</v>
      </c>
      <c r="B14" s="55" t="s">
        <v>148</v>
      </c>
      <c r="C14" s="55" t="s">
        <v>148</v>
      </c>
      <c r="D14" s="55"/>
    </row>
    <row r="15" spans="1:4" x14ac:dyDescent="0.25">
      <c r="A15" s="28" t="s">
        <v>82</v>
      </c>
      <c r="B15" s="55"/>
      <c r="C15" s="55" t="s">
        <v>148</v>
      </c>
      <c r="D15" s="56" t="s">
        <v>148</v>
      </c>
    </row>
    <row r="16" spans="1:4" x14ac:dyDescent="0.25">
      <c r="A16" s="28" t="s">
        <v>83</v>
      </c>
      <c r="B16" s="55"/>
      <c r="C16" s="55" t="s">
        <v>148</v>
      </c>
      <c r="D16" s="56" t="s">
        <v>148</v>
      </c>
    </row>
    <row r="17" spans="1:7" x14ac:dyDescent="0.25">
      <c r="A17" s="28" t="s">
        <v>84</v>
      </c>
      <c r="B17" s="55" t="s">
        <v>148</v>
      </c>
      <c r="C17" s="55" t="s">
        <v>148</v>
      </c>
      <c r="D17" s="56" t="s">
        <v>148</v>
      </c>
    </row>
    <row r="18" spans="1:7" x14ac:dyDescent="0.25">
      <c r="A18" s="28" t="s">
        <v>115</v>
      </c>
      <c r="B18" s="55"/>
      <c r="C18" s="55" t="s">
        <v>148</v>
      </c>
      <c r="D18" s="55"/>
    </row>
    <row r="19" spans="1:7" x14ac:dyDescent="0.25">
      <c r="A19" s="28" t="s">
        <v>37</v>
      </c>
      <c r="B19" s="55" t="s">
        <v>148</v>
      </c>
      <c r="C19" s="55" t="s">
        <v>148</v>
      </c>
      <c r="D19" s="199" t="s">
        <v>148</v>
      </c>
    </row>
    <row r="20" spans="1:7" x14ac:dyDescent="0.25">
      <c r="A20" s="28" t="s">
        <v>85</v>
      </c>
      <c r="B20" s="55"/>
      <c r="C20" s="55" t="s">
        <v>148</v>
      </c>
      <c r="D20" s="55"/>
    </row>
    <row r="21" spans="1:7" x14ac:dyDescent="0.25">
      <c r="A21" s="28" t="s">
        <v>14</v>
      </c>
      <c r="B21" s="55" t="s">
        <v>148</v>
      </c>
      <c r="C21" s="55"/>
      <c r="D21" s="55"/>
    </row>
    <row r="22" spans="1:7" x14ac:dyDescent="0.25">
      <c r="A22" s="28" t="s">
        <v>86</v>
      </c>
      <c r="B22" s="55"/>
      <c r="C22" s="55" t="s">
        <v>148</v>
      </c>
      <c r="D22" s="55"/>
    </row>
    <row r="23" spans="1:7" x14ac:dyDescent="0.25">
      <c r="A23" s="28" t="s">
        <v>38</v>
      </c>
      <c r="B23" s="55"/>
      <c r="C23" s="55" t="s">
        <v>148</v>
      </c>
      <c r="D23" s="56" t="s">
        <v>148</v>
      </c>
    </row>
    <row r="24" spans="1:7" x14ac:dyDescent="0.25">
      <c r="A24" s="28" t="s">
        <v>87</v>
      </c>
      <c r="B24" s="55" t="s">
        <v>148</v>
      </c>
      <c r="C24" s="55"/>
      <c r="D24" s="55"/>
    </row>
    <row r="25" spans="1:7" x14ac:dyDescent="0.25">
      <c r="A25" s="28" t="s">
        <v>88</v>
      </c>
      <c r="B25" s="55"/>
      <c r="C25" s="55" t="s">
        <v>148</v>
      </c>
      <c r="D25" s="55"/>
    </row>
    <row r="26" spans="1:7" x14ac:dyDescent="0.25">
      <c r="A26" s="28" t="s">
        <v>89</v>
      </c>
      <c r="B26" s="55"/>
      <c r="C26" s="55" t="s">
        <v>148</v>
      </c>
      <c r="D26" s="55"/>
    </row>
    <row r="27" spans="1:7" x14ac:dyDescent="0.25">
      <c r="A27" s="28" t="s">
        <v>90</v>
      </c>
      <c r="B27" s="55"/>
      <c r="C27" s="55" t="s">
        <v>148</v>
      </c>
      <c r="D27" s="56" t="s">
        <v>148</v>
      </c>
    </row>
    <row r="28" spans="1:7" x14ac:dyDescent="0.25">
      <c r="A28" s="226" t="s">
        <v>160</v>
      </c>
      <c r="B28" s="55"/>
      <c r="C28" s="227" t="s">
        <v>148</v>
      </c>
      <c r="D28" s="56"/>
    </row>
    <row r="29" spans="1:7" x14ac:dyDescent="0.25">
      <c r="A29" s="28" t="s">
        <v>91</v>
      </c>
      <c r="B29" s="55"/>
      <c r="C29" s="55" t="s">
        <v>148</v>
      </c>
      <c r="D29" s="55"/>
    </row>
    <row r="30" spans="1:7" x14ac:dyDescent="0.25">
      <c r="A30" s="28" t="s">
        <v>21</v>
      </c>
      <c r="B30" s="55"/>
      <c r="C30" s="55" t="s">
        <v>148</v>
      </c>
      <c r="D30" s="55"/>
    </row>
    <row r="31" spans="1:7" x14ac:dyDescent="0.25">
      <c r="A31" s="28" t="s">
        <v>130</v>
      </c>
      <c r="B31" s="55" t="s">
        <v>148</v>
      </c>
      <c r="C31" s="55" t="s">
        <v>148</v>
      </c>
      <c r="D31" s="56" t="s">
        <v>148</v>
      </c>
    </row>
    <row r="32" spans="1:7" x14ac:dyDescent="0.25">
      <c r="A32" s="28" t="s">
        <v>110</v>
      </c>
      <c r="B32" s="55" t="s">
        <v>148</v>
      </c>
      <c r="C32" s="55"/>
      <c r="D32" s="55"/>
      <c r="F32" s="17"/>
      <c r="G32" s="18"/>
    </row>
    <row r="33" spans="1:7" x14ac:dyDescent="0.25">
      <c r="A33" s="28" t="s">
        <v>92</v>
      </c>
      <c r="B33" s="55"/>
      <c r="C33" s="55" t="s">
        <v>148</v>
      </c>
      <c r="D33" s="56" t="s">
        <v>148</v>
      </c>
      <c r="F33" s="17"/>
      <c r="G33" s="18"/>
    </row>
    <row r="34" spans="1:7" x14ac:dyDescent="0.25">
      <c r="A34" s="28" t="s">
        <v>111</v>
      </c>
      <c r="B34" s="55" t="s">
        <v>148</v>
      </c>
      <c r="C34" s="55"/>
      <c r="D34" s="55"/>
      <c r="F34" s="17"/>
      <c r="G34" s="18"/>
    </row>
    <row r="35" spans="1:7" x14ac:dyDescent="0.25">
      <c r="A35" s="28" t="s">
        <v>93</v>
      </c>
      <c r="B35" s="55" t="s">
        <v>148</v>
      </c>
      <c r="C35" s="55" t="s">
        <v>148</v>
      </c>
      <c r="D35" s="55"/>
      <c r="F35" s="17"/>
      <c r="G35" s="18"/>
    </row>
    <row r="36" spans="1:7" x14ac:dyDescent="0.25">
      <c r="A36" s="28" t="s">
        <v>112</v>
      </c>
      <c r="B36" s="55" t="s">
        <v>148</v>
      </c>
      <c r="C36" s="55"/>
      <c r="D36" s="55"/>
      <c r="F36" s="17"/>
      <c r="G36" s="18"/>
    </row>
    <row r="37" spans="1:7" x14ac:dyDescent="0.25">
      <c r="A37" s="28" t="s">
        <v>94</v>
      </c>
      <c r="B37" s="28"/>
      <c r="C37" s="55" t="s">
        <v>148</v>
      </c>
      <c r="D37" s="55"/>
      <c r="F37" s="17"/>
      <c r="G37" s="18"/>
    </row>
    <row r="38" spans="1:7" x14ac:dyDescent="0.25">
      <c r="A38" s="28" t="s">
        <v>95</v>
      </c>
      <c r="B38" s="55"/>
      <c r="C38" s="55" t="s">
        <v>148</v>
      </c>
      <c r="D38" s="55"/>
      <c r="F38" s="17"/>
      <c r="G38" s="18"/>
    </row>
    <row r="39" spans="1:7" x14ac:dyDescent="0.25">
      <c r="A39" s="28" t="s">
        <v>96</v>
      </c>
      <c r="B39" s="55" t="s">
        <v>148</v>
      </c>
      <c r="C39" s="55"/>
      <c r="D39" s="55"/>
      <c r="F39" s="17"/>
      <c r="G39" s="18"/>
    </row>
    <row r="40" spans="1:7" x14ac:dyDescent="0.25">
      <c r="A40" s="28" t="s">
        <v>97</v>
      </c>
      <c r="B40" s="55" t="s">
        <v>148</v>
      </c>
      <c r="C40" s="55"/>
      <c r="D40" s="55"/>
      <c r="F40" s="17"/>
      <c r="G40" s="18"/>
    </row>
    <row r="41" spans="1:7" x14ac:dyDescent="0.25">
      <c r="A41" s="28" t="s">
        <v>98</v>
      </c>
      <c r="B41" s="55"/>
      <c r="C41" s="55" t="s">
        <v>148</v>
      </c>
      <c r="D41" s="55"/>
      <c r="F41" s="17"/>
      <c r="G41" s="18"/>
    </row>
    <row r="42" spans="1:7" x14ac:dyDescent="0.25">
      <c r="A42" s="28" t="s">
        <v>99</v>
      </c>
      <c r="B42" s="55"/>
      <c r="C42" s="55" t="s">
        <v>148</v>
      </c>
      <c r="D42" s="55"/>
      <c r="F42" s="17"/>
      <c r="G42" s="18"/>
    </row>
    <row r="43" spans="1:7" x14ac:dyDescent="0.25">
      <c r="A43" s="28" t="s">
        <v>40</v>
      </c>
      <c r="B43" s="55"/>
      <c r="C43" s="55" t="s">
        <v>148</v>
      </c>
      <c r="D43" s="55"/>
      <c r="F43" s="17"/>
      <c r="G43" s="18"/>
    </row>
    <row r="44" spans="1:7" x14ac:dyDescent="0.25">
      <c r="A44" s="28" t="s">
        <v>100</v>
      </c>
      <c r="B44" s="55"/>
      <c r="C44" s="55" t="s">
        <v>148</v>
      </c>
      <c r="D44" s="55"/>
      <c r="F44" s="17"/>
      <c r="G44" s="18"/>
    </row>
    <row r="45" spans="1:7" x14ac:dyDescent="0.25">
      <c r="A45" s="28" t="s">
        <v>101</v>
      </c>
      <c r="B45" s="55" t="s">
        <v>148</v>
      </c>
      <c r="C45" s="55" t="s">
        <v>148</v>
      </c>
      <c r="D45" s="56" t="s">
        <v>148</v>
      </c>
      <c r="F45" s="17"/>
      <c r="G45" s="18"/>
    </row>
    <row r="46" spans="1:7" x14ac:dyDescent="0.25">
      <c r="A46" s="28" t="s">
        <v>41</v>
      </c>
      <c r="B46" s="55"/>
      <c r="C46" s="55" t="s">
        <v>148</v>
      </c>
      <c r="D46" s="55"/>
      <c r="F46" s="17"/>
      <c r="G46" s="18"/>
    </row>
    <row r="47" spans="1:7" x14ac:dyDescent="0.25">
      <c r="A47" s="28" t="s">
        <v>102</v>
      </c>
      <c r="B47" s="227" t="s">
        <v>148</v>
      </c>
      <c r="C47" s="55" t="s">
        <v>148</v>
      </c>
      <c r="D47" s="55"/>
      <c r="F47" s="17"/>
      <c r="G47" s="18"/>
    </row>
    <row r="48" spans="1:7" x14ac:dyDescent="0.25">
      <c r="A48" s="28" t="s">
        <v>125</v>
      </c>
      <c r="B48" s="55" t="s">
        <v>148</v>
      </c>
      <c r="C48" s="55"/>
      <c r="D48" s="56" t="s">
        <v>148</v>
      </c>
      <c r="F48" s="17"/>
      <c r="G48" s="18"/>
    </row>
    <row r="49" spans="1:7" x14ac:dyDescent="0.25">
      <c r="A49" s="28" t="s">
        <v>126</v>
      </c>
      <c r="B49" s="55"/>
      <c r="C49" s="55" t="s">
        <v>148</v>
      </c>
      <c r="D49" s="55"/>
      <c r="F49" s="17"/>
      <c r="G49" s="18"/>
    </row>
    <row r="50" spans="1:7" x14ac:dyDescent="0.25">
      <c r="A50" s="28" t="s">
        <v>42</v>
      </c>
      <c r="B50" s="55"/>
      <c r="C50" s="55" t="s">
        <v>148</v>
      </c>
      <c r="D50" s="55"/>
      <c r="F50" s="17"/>
      <c r="G50" s="18"/>
    </row>
    <row r="51" spans="1:7" x14ac:dyDescent="0.25">
      <c r="A51" s="28" t="s">
        <v>103</v>
      </c>
      <c r="B51" s="55"/>
      <c r="C51" s="55" t="s">
        <v>148</v>
      </c>
      <c r="D51" s="55"/>
      <c r="F51" s="17"/>
      <c r="G51" s="18"/>
    </row>
    <row r="52" spans="1:7" x14ac:dyDescent="0.25">
      <c r="A52" s="28" t="s">
        <v>104</v>
      </c>
      <c r="B52" s="55"/>
      <c r="C52" s="55" t="s">
        <v>148</v>
      </c>
      <c r="D52" s="55"/>
    </row>
    <row r="53" spans="1:7" x14ac:dyDescent="0.25">
      <c r="A53" s="226" t="s">
        <v>201</v>
      </c>
      <c r="B53" s="55" t="s">
        <v>148</v>
      </c>
      <c r="C53" s="55"/>
      <c r="D53" s="227" t="s">
        <v>148</v>
      </c>
    </row>
    <row r="54" spans="1:7" x14ac:dyDescent="0.25">
      <c r="A54" s="28" t="s">
        <v>43</v>
      </c>
      <c r="B54" s="55"/>
      <c r="C54" s="55" t="s">
        <v>148</v>
      </c>
      <c r="D54" s="55"/>
    </row>
    <row r="55" spans="1:7" x14ac:dyDescent="0.25">
      <c r="A55" s="28" t="s">
        <v>105</v>
      </c>
      <c r="B55" s="55"/>
      <c r="C55" s="55" t="s">
        <v>148</v>
      </c>
      <c r="D55" s="55"/>
    </row>
    <row r="56" spans="1:7" x14ac:dyDescent="0.25">
      <c r="A56" s="28" t="s">
        <v>106</v>
      </c>
      <c r="B56" s="55" t="s">
        <v>148</v>
      </c>
      <c r="C56" s="55"/>
      <c r="D56" s="55"/>
    </row>
    <row r="57" spans="1:7" x14ac:dyDescent="0.25">
      <c r="A57" s="28" t="s">
        <v>107</v>
      </c>
      <c r="B57" s="55"/>
      <c r="C57" s="55" t="s">
        <v>148</v>
      </c>
      <c r="D57" s="55"/>
    </row>
    <row r="58" spans="1:7" x14ac:dyDescent="0.25">
      <c r="A58" s="28" t="s">
        <v>45</v>
      </c>
      <c r="B58" s="55"/>
      <c r="C58" s="55" t="s">
        <v>148</v>
      </c>
      <c r="D58" s="55"/>
    </row>
    <row r="59" spans="1:7" x14ac:dyDescent="0.25">
      <c r="A59" s="28" t="s">
        <v>32</v>
      </c>
      <c r="B59" s="55" t="s">
        <v>148</v>
      </c>
      <c r="C59" s="55"/>
      <c r="D59" s="55"/>
    </row>
    <row r="60" spans="1:7" x14ac:dyDescent="0.25">
      <c r="A60" s="28" t="s">
        <v>113</v>
      </c>
      <c r="B60" s="55" t="s">
        <v>148</v>
      </c>
      <c r="C60" s="55" t="s">
        <v>148</v>
      </c>
      <c r="D60" s="55"/>
    </row>
    <row r="61" spans="1:7" x14ac:dyDescent="0.25">
      <c r="A61" s="28" t="s">
        <v>46</v>
      </c>
      <c r="B61" s="55"/>
      <c r="C61" s="55" t="s">
        <v>148</v>
      </c>
      <c r="D61" s="56" t="s">
        <v>148</v>
      </c>
    </row>
    <row r="62" spans="1:7" x14ac:dyDescent="0.25">
      <c r="A62" s="28" t="s">
        <v>48</v>
      </c>
      <c r="B62" s="55" t="s">
        <v>148</v>
      </c>
      <c r="C62" s="55" t="s">
        <v>148</v>
      </c>
      <c r="D62" s="56" t="s">
        <v>148</v>
      </c>
    </row>
    <row r="63" spans="1:7" x14ac:dyDescent="0.25">
      <c r="A63" s="28" t="s">
        <v>108</v>
      </c>
      <c r="B63" s="55"/>
      <c r="C63" s="55" t="s">
        <v>148</v>
      </c>
      <c r="D63" s="55"/>
    </row>
    <row r="64" spans="1:7" x14ac:dyDescent="0.25">
      <c r="A64" s="28" t="s">
        <v>109</v>
      </c>
      <c r="B64" s="55"/>
      <c r="C64" s="55" t="s">
        <v>148</v>
      </c>
      <c r="D64" s="56" t="s">
        <v>148</v>
      </c>
    </row>
    <row r="65" spans="1:12" x14ac:dyDescent="0.25">
      <c r="A65" s="28"/>
      <c r="B65" s="28"/>
      <c r="C65" s="28"/>
      <c r="D65" s="28"/>
    </row>
    <row r="66" spans="1:12" x14ac:dyDescent="0.25">
      <c r="A66" s="28" t="s">
        <v>25</v>
      </c>
      <c r="B66" s="55">
        <f>COUNTIF(B5:B65,B59)</f>
        <v>23</v>
      </c>
      <c r="C66" s="55">
        <f>COUNTIF(C5:C65,C58)</f>
        <v>48</v>
      </c>
      <c r="D66" s="55">
        <f>COUNTIF(D5:D65,D61)</f>
        <v>16</v>
      </c>
    </row>
    <row r="67" spans="1:12" x14ac:dyDescent="0.25">
      <c r="A67" s="49"/>
      <c r="B67" s="49"/>
      <c r="C67" s="49"/>
      <c r="D67" s="49"/>
    </row>
    <row r="68" spans="1:12" ht="52.5" customHeight="1" x14ac:dyDescent="0.25">
      <c r="A68" s="293" t="s">
        <v>202</v>
      </c>
      <c r="B68" s="293"/>
      <c r="C68" s="293"/>
      <c r="D68" s="293"/>
    </row>
    <row r="69" spans="1:12" ht="31.5" customHeight="1" x14ac:dyDescent="0.25">
      <c r="A69" s="293" t="s">
        <v>155</v>
      </c>
      <c r="B69" s="293"/>
      <c r="C69" s="293"/>
      <c r="D69" s="293"/>
    </row>
    <row r="70" spans="1:12" ht="43.5" customHeight="1" x14ac:dyDescent="0.25">
      <c r="A70" s="291" t="s">
        <v>200</v>
      </c>
      <c r="B70" s="292"/>
      <c r="C70" s="292"/>
      <c r="D70" s="292"/>
    </row>
    <row r="71" spans="1:12" ht="15" customHeight="1" x14ac:dyDescent="0.25">
      <c r="A71" s="53"/>
      <c r="B71" s="53"/>
      <c r="C71" s="53"/>
      <c r="D71" s="53"/>
      <c r="H71" s="200"/>
      <c r="I71" s="201"/>
      <c r="J71" s="201"/>
      <c r="K71" s="201"/>
      <c r="L71" s="201"/>
    </row>
    <row r="72" spans="1:12" x14ac:dyDescent="0.25">
      <c r="A72" s="258" t="s">
        <v>184</v>
      </c>
      <c r="B72" s="264"/>
      <c r="C72" s="264"/>
      <c r="D72" s="264"/>
      <c r="H72" s="201"/>
      <c r="I72" s="201"/>
      <c r="J72" s="201"/>
      <c r="K72" s="201"/>
      <c r="L72" s="201"/>
    </row>
    <row r="73" spans="1:12" x14ac:dyDescent="0.25">
      <c r="A73" s="264"/>
      <c r="B73" s="264"/>
      <c r="C73" s="264"/>
      <c r="D73" s="264"/>
      <c r="H73" s="201"/>
      <c r="I73" s="201"/>
      <c r="J73" s="201"/>
      <c r="K73" s="201"/>
      <c r="L73" s="201"/>
    </row>
    <row r="74" spans="1:12" x14ac:dyDescent="0.25">
      <c r="A74" s="264"/>
      <c r="B74" s="264"/>
      <c r="C74" s="264"/>
      <c r="D74" s="264"/>
      <c r="H74" s="201"/>
      <c r="I74" s="201"/>
      <c r="J74" s="201"/>
      <c r="K74" s="201"/>
      <c r="L74" s="201"/>
    </row>
    <row r="76" spans="1:12" ht="15" customHeight="1" x14ac:dyDescent="0.25">
      <c r="A76" s="259" t="s">
        <v>164</v>
      </c>
      <c r="B76" s="259"/>
      <c r="C76" s="259"/>
      <c r="D76" s="259"/>
      <c r="E76" s="189"/>
      <c r="F76" s="189"/>
      <c r="G76" s="189"/>
    </row>
    <row r="77" spans="1:12" x14ac:dyDescent="0.25">
      <c r="A77" s="259"/>
      <c r="B77" s="259"/>
      <c r="C77" s="259"/>
      <c r="D77" s="259"/>
      <c r="E77" s="189"/>
      <c r="F77" s="189"/>
      <c r="G77" s="189"/>
    </row>
    <row r="78" spans="1:12" x14ac:dyDescent="0.25">
      <c r="A78" s="259"/>
      <c r="B78" s="259"/>
      <c r="C78" s="259"/>
      <c r="D78" s="259"/>
      <c r="E78" s="189"/>
      <c r="F78" s="189"/>
      <c r="G78" s="189"/>
    </row>
    <row r="79" spans="1:12" x14ac:dyDescent="0.25">
      <c r="A79" s="189"/>
      <c r="B79" s="189"/>
      <c r="C79" s="189"/>
      <c r="D79" s="189"/>
      <c r="E79" s="189"/>
      <c r="F79" s="189"/>
      <c r="G79" s="189"/>
    </row>
  </sheetData>
  <mergeCells count="5">
    <mergeCell ref="A70:D70"/>
    <mergeCell ref="A68:D68"/>
    <mergeCell ref="A69:D69"/>
    <mergeCell ref="A72:D74"/>
    <mergeCell ref="A76:D78"/>
  </mergeCells>
  <phoneticPr fontId="68" type="noConversion"/>
  <pageMargins left="0.7" right="0.7" top="0.75" bottom="0.75" header="0.3" footer="0.3"/>
  <pageSetup scale="55" orientation="portrait"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F45"/>
  <sheetViews>
    <sheetView zoomScaleNormal="100" zoomScaleSheetLayoutView="100" workbookViewId="0"/>
  </sheetViews>
  <sheetFormatPr defaultColWidth="8.85546875" defaultRowHeight="15" x14ac:dyDescent="0.25"/>
  <cols>
    <col min="1" max="1" width="21.28515625" style="27" customWidth="1"/>
    <col min="2" max="2" width="30.5703125" style="27" customWidth="1"/>
    <col min="3" max="3" width="19.5703125" style="27" bestFit="1" customWidth="1"/>
    <col min="4" max="4" width="24.42578125" style="27" customWidth="1"/>
    <col min="5" max="5" width="21.42578125" style="27" customWidth="1"/>
    <col min="6" max="16384" width="8.85546875" style="27"/>
  </cols>
  <sheetData>
    <row r="1" spans="1:6" ht="12.75" customHeight="1" x14ac:dyDescent="0.25">
      <c r="A1" s="22" t="s">
        <v>175</v>
      </c>
      <c r="C1" s="163"/>
      <c r="D1" s="46"/>
      <c r="E1" s="46"/>
      <c r="F1" s="46"/>
    </row>
    <row r="2" spans="1:6" ht="12.75" customHeight="1" x14ac:dyDescent="0.25">
      <c r="B2" s="163"/>
      <c r="C2" s="163"/>
      <c r="D2" s="46"/>
      <c r="E2" s="46"/>
      <c r="F2" s="46"/>
    </row>
    <row r="3" spans="1:6" ht="30.75" customHeight="1" x14ac:dyDescent="0.2">
      <c r="A3" s="177" t="s">
        <v>174</v>
      </c>
      <c r="B3" s="178" t="s">
        <v>3</v>
      </c>
      <c r="C3" s="179" t="s">
        <v>170</v>
      </c>
      <c r="D3" s="180" t="s">
        <v>168</v>
      </c>
      <c r="E3" s="181" t="s">
        <v>203</v>
      </c>
      <c r="F3" s="46"/>
    </row>
    <row r="4" spans="1:6" ht="12.75" customHeight="1" x14ac:dyDescent="0.2">
      <c r="A4" s="183" t="s">
        <v>173</v>
      </c>
      <c r="B4" s="164"/>
      <c r="C4" s="175" t="s">
        <v>169</v>
      </c>
      <c r="D4" s="176" t="s">
        <v>171</v>
      </c>
      <c r="E4" s="182" t="s">
        <v>172</v>
      </c>
      <c r="F4" s="46"/>
    </row>
    <row r="5" spans="1:6" ht="12.75" customHeight="1" x14ac:dyDescent="0.25">
      <c r="A5" s="165"/>
      <c r="B5" s="163"/>
      <c r="C5" s="294" t="s">
        <v>77</v>
      </c>
      <c r="D5" s="294"/>
      <c r="E5" s="294"/>
      <c r="F5" s="46"/>
    </row>
    <row r="6" spans="1:6" ht="12.75" customHeight="1" x14ac:dyDescent="0.25">
      <c r="A6" s="165"/>
      <c r="B6" s="163"/>
      <c r="C6" s="171"/>
      <c r="D6" s="46"/>
      <c r="E6" s="46"/>
      <c r="F6" s="46"/>
    </row>
    <row r="7" spans="1:6" ht="12.75" customHeight="1" x14ac:dyDescent="0.25">
      <c r="A7" s="169">
        <v>39</v>
      </c>
      <c r="B7" s="47" t="s">
        <v>37</v>
      </c>
      <c r="C7" s="171">
        <v>69</v>
      </c>
      <c r="D7" s="173">
        <v>28.2</v>
      </c>
      <c r="E7" s="173">
        <v>19.899999999999999</v>
      </c>
      <c r="F7" s="46"/>
    </row>
    <row r="8" spans="1:6" ht="12.75" customHeight="1" x14ac:dyDescent="0.25">
      <c r="A8" s="169">
        <v>37.9</v>
      </c>
      <c r="B8" s="47" t="s">
        <v>153</v>
      </c>
      <c r="C8" s="171">
        <v>62</v>
      </c>
      <c r="D8" s="173">
        <v>35</v>
      </c>
      <c r="E8" s="173">
        <v>16.600000000000001</v>
      </c>
      <c r="F8" s="46"/>
    </row>
    <row r="9" spans="1:6" ht="12.75" customHeight="1" x14ac:dyDescent="0.25">
      <c r="A9" s="169">
        <v>33.9</v>
      </c>
      <c r="B9" s="47" t="s">
        <v>159</v>
      </c>
      <c r="C9" s="171">
        <v>64</v>
      </c>
      <c r="D9" s="173">
        <v>32.1</v>
      </c>
      <c r="E9" s="173">
        <v>5.5</v>
      </c>
      <c r="F9" s="46"/>
    </row>
    <row r="10" spans="1:6" ht="12.75" customHeight="1" x14ac:dyDescent="0.25">
      <c r="A10" s="169">
        <v>30.6</v>
      </c>
      <c r="B10" s="47" t="s">
        <v>83</v>
      </c>
      <c r="C10" s="171">
        <v>37</v>
      </c>
      <c r="D10" s="173">
        <v>33.9</v>
      </c>
      <c r="E10" s="173">
        <v>20.9</v>
      </c>
      <c r="F10" s="46"/>
    </row>
    <row r="11" spans="1:6" ht="12.75" customHeight="1" x14ac:dyDescent="0.25">
      <c r="A11" s="169">
        <v>28.7</v>
      </c>
      <c r="B11" s="47" t="s">
        <v>38</v>
      </c>
      <c r="C11" s="171">
        <v>41</v>
      </c>
      <c r="D11" s="173">
        <v>34.6</v>
      </c>
      <c r="E11" s="173">
        <v>10.4</v>
      </c>
      <c r="F11" s="46"/>
    </row>
    <row r="12" spans="1:6" ht="12.75" customHeight="1" x14ac:dyDescent="0.25">
      <c r="A12" s="169">
        <v>28.2</v>
      </c>
      <c r="B12" s="47" t="s">
        <v>160</v>
      </c>
      <c r="C12" s="171">
        <v>57</v>
      </c>
      <c r="D12" s="173">
        <v>18.899999999999999</v>
      </c>
      <c r="E12" s="173">
        <v>8.6999999999999993</v>
      </c>
      <c r="F12" s="46"/>
    </row>
    <row r="13" spans="1:6" ht="12.75" customHeight="1" x14ac:dyDescent="0.25">
      <c r="A13" s="169">
        <v>27.1</v>
      </c>
      <c r="B13" s="47" t="s">
        <v>132</v>
      </c>
      <c r="C13" s="171">
        <v>31</v>
      </c>
      <c r="D13" s="173">
        <v>44.7</v>
      </c>
      <c r="E13" s="173">
        <v>5.6</v>
      </c>
      <c r="F13" s="46"/>
    </row>
    <row r="14" spans="1:6" ht="12.75" customHeight="1" x14ac:dyDescent="0.25">
      <c r="A14" s="169">
        <v>27</v>
      </c>
      <c r="B14" s="47" t="s">
        <v>82</v>
      </c>
      <c r="C14" s="171">
        <v>40</v>
      </c>
      <c r="D14" s="173">
        <v>24</v>
      </c>
      <c r="E14" s="173">
        <v>17.100000000000001</v>
      </c>
      <c r="F14" s="46"/>
    </row>
    <row r="15" spans="1:6" ht="12.75" customHeight="1" x14ac:dyDescent="0.25">
      <c r="A15" s="169">
        <v>26.2</v>
      </c>
      <c r="B15" s="47" t="s">
        <v>158</v>
      </c>
      <c r="C15" s="171">
        <v>46</v>
      </c>
      <c r="D15" s="173">
        <v>22.1</v>
      </c>
      <c r="E15" s="173">
        <v>10.4</v>
      </c>
      <c r="F15" s="46"/>
    </row>
    <row r="16" spans="1:6" ht="12.75" customHeight="1" x14ac:dyDescent="0.25">
      <c r="A16" s="169">
        <v>25.4</v>
      </c>
      <c r="B16" s="47" t="s">
        <v>48</v>
      </c>
      <c r="C16" s="171">
        <v>31</v>
      </c>
      <c r="D16" s="173">
        <v>38.6</v>
      </c>
      <c r="E16" s="173">
        <v>6.6</v>
      </c>
      <c r="F16" s="46"/>
    </row>
    <row r="17" spans="1:6" ht="12.75" customHeight="1" x14ac:dyDescent="0.25">
      <c r="A17" s="169">
        <v>25.2</v>
      </c>
      <c r="B17" s="47" t="s">
        <v>104</v>
      </c>
      <c r="C17" s="171">
        <v>35</v>
      </c>
      <c r="D17" s="173">
        <v>21.3</v>
      </c>
      <c r="E17" s="173">
        <v>19.2</v>
      </c>
      <c r="F17" s="46"/>
    </row>
    <row r="18" spans="1:6" ht="12.75" customHeight="1" x14ac:dyDescent="0.25">
      <c r="A18" s="169">
        <v>24.5</v>
      </c>
      <c r="B18" s="47" t="s">
        <v>120</v>
      </c>
      <c r="C18" s="171">
        <v>27</v>
      </c>
      <c r="D18" s="173">
        <v>41.3</v>
      </c>
      <c r="E18" s="173">
        <v>5.2</v>
      </c>
      <c r="F18" s="46"/>
    </row>
    <row r="19" spans="1:6" ht="12.75" customHeight="1" x14ac:dyDescent="0.25">
      <c r="A19" s="169">
        <v>24.2</v>
      </c>
      <c r="B19" s="47" t="s">
        <v>157</v>
      </c>
      <c r="C19" s="171">
        <v>41</v>
      </c>
      <c r="D19" s="173">
        <v>15.5</v>
      </c>
      <c r="E19" s="173">
        <v>16.100000000000001</v>
      </c>
      <c r="F19" s="46"/>
    </row>
    <row r="20" spans="1:6" ht="12.75" customHeight="1" x14ac:dyDescent="0.25">
      <c r="A20" s="169">
        <v>24</v>
      </c>
      <c r="B20" s="47" t="s">
        <v>108</v>
      </c>
      <c r="C20" s="171">
        <v>43</v>
      </c>
      <c r="D20" s="173">
        <v>14.9</v>
      </c>
      <c r="E20" s="173">
        <v>14.1</v>
      </c>
      <c r="F20" s="46"/>
    </row>
    <row r="21" spans="1:6" ht="12.75" customHeight="1" x14ac:dyDescent="0.25">
      <c r="A21" s="169">
        <v>23.7</v>
      </c>
      <c r="B21" s="47" t="s">
        <v>13</v>
      </c>
      <c r="C21" s="171">
        <v>21</v>
      </c>
      <c r="D21" s="173">
        <v>43.5</v>
      </c>
      <c r="E21" s="173">
        <v>6.6</v>
      </c>
      <c r="F21" s="46"/>
    </row>
    <row r="22" spans="1:6" ht="12.75" customHeight="1" x14ac:dyDescent="0.25">
      <c r="A22" s="169">
        <v>23</v>
      </c>
      <c r="B22" s="47" t="s">
        <v>101</v>
      </c>
      <c r="C22" s="171">
        <v>20</v>
      </c>
      <c r="D22" s="173">
        <v>32.9</v>
      </c>
      <c r="E22" s="173">
        <v>16</v>
      </c>
      <c r="F22" s="46"/>
    </row>
    <row r="23" spans="1:6" ht="12.75" customHeight="1" x14ac:dyDescent="0.25">
      <c r="A23" s="169">
        <v>22.7</v>
      </c>
      <c r="B23" s="47" t="s">
        <v>98</v>
      </c>
      <c r="C23" s="171">
        <v>38</v>
      </c>
      <c r="D23" s="173">
        <v>15.8</v>
      </c>
      <c r="E23" s="173">
        <v>14.2</v>
      </c>
      <c r="F23" s="46"/>
    </row>
    <row r="24" spans="1:6" ht="12.75" customHeight="1" x14ac:dyDescent="0.25">
      <c r="A24" s="169">
        <v>22.5</v>
      </c>
      <c r="B24" s="47" t="s">
        <v>85</v>
      </c>
      <c r="C24" s="171">
        <v>28</v>
      </c>
      <c r="D24" s="173">
        <v>30.1</v>
      </c>
      <c r="E24" s="173">
        <v>9.4</v>
      </c>
      <c r="F24" s="46"/>
    </row>
    <row r="25" spans="1:6" ht="12.75" customHeight="1" x14ac:dyDescent="0.25">
      <c r="A25" s="169">
        <v>22.5</v>
      </c>
      <c r="B25" s="47" t="s">
        <v>94</v>
      </c>
      <c r="C25" s="171">
        <v>25</v>
      </c>
      <c r="D25" s="173">
        <v>36.799999999999997</v>
      </c>
      <c r="E25" s="173">
        <v>5.8</v>
      </c>
      <c r="F25" s="46"/>
    </row>
    <row r="26" spans="1:6" ht="12.75" customHeight="1" x14ac:dyDescent="0.25">
      <c r="A26" s="169">
        <v>21.5</v>
      </c>
      <c r="B26" s="47" t="s">
        <v>93</v>
      </c>
      <c r="C26" s="171">
        <v>33</v>
      </c>
      <c r="D26" s="173">
        <v>20.399999999999999</v>
      </c>
      <c r="E26" s="173">
        <v>11.2</v>
      </c>
      <c r="F26" s="46"/>
    </row>
    <row r="27" spans="1:6" ht="12.75" customHeight="1" x14ac:dyDescent="0.25">
      <c r="A27" s="169">
        <v>21.5</v>
      </c>
      <c r="B27" s="47" t="s">
        <v>44</v>
      </c>
      <c r="C27" s="171">
        <v>22</v>
      </c>
      <c r="D27" s="173">
        <v>31.7</v>
      </c>
      <c r="E27" s="173">
        <v>10.8</v>
      </c>
      <c r="F27" s="46"/>
    </row>
    <row r="28" spans="1:6" ht="12.75" customHeight="1" x14ac:dyDescent="0.25">
      <c r="A28" s="169">
        <v>21</v>
      </c>
      <c r="B28" s="47" t="s">
        <v>42</v>
      </c>
      <c r="C28" s="171">
        <v>34</v>
      </c>
      <c r="D28" s="173">
        <v>18</v>
      </c>
      <c r="E28" s="173">
        <v>11.1</v>
      </c>
      <c r="F28" s="46"/>
    </row>
    <row r="29" spans="1:6" ht="12.75" customHeight="1" x14ac:dyDescent="0.25">
      <c r="A29" s="169">
        <v>20.7</v>
      </c>
      <c r="B29" s="47" t="s">
        <v>125</v>
      </c>
      <c r="C29" s="171">
        <v>26</v>
      </c>
      <c r="D29" s="173">
        <v>27.5</v>
      </c>
      <c r="E29" s="173">
        <v>8.6999999999999993</v>
      </c>
      <c r="F29" s="46"/>
    </row>
    <row r="30" spans="1:6" ht="12.75" customHeight="1" x14ac:dyDescent="0.25">
      <c r="A30" s="169">
        <v>20.5</v>
      </c>
      <c r="B30" s="47" t="s">
        <v>45</v>
      </c>
      <c r="C30" s="171">
        <v>34</v>
      </c>
      <c r="D30" s="173">
        <v>16.7</v>
      </c>
      <c r="E30" s="173">
        <v>10.8</v>
      </c>
      <c r="F30" s="46"/>
    </row>
    <row r="31" spans="1:6" ht="12.75" customHeight="1" x14ac:dyDescent="0.25">
      <c r="A31" s="169">
        <v>20.2</v>
      </c>
      <c r="B31" s="47" t="s">
        <v>131</v>
      </c>
      <c r="C31" s="171">
        <v>23</v>
      </c>
      <c r="D31" s="173">
        <v>31.6</v>
      </c>
      <c r="E31" s="173">
        <v>5.9</v>
      </c>
      <c r="F31" s="46"/>
    </row>
    <row r="32" spans="1:6" ht="12.75" customHeight="1" x14ac:dyDescent="0.25">
      <c r="A32" s="170">
        <v>20.100000000000001</v>
      </c>
      <c r="B32" s="166" t="s">
        <v>133</v>
      </c>
      <c r="C32" s="172">
        <v>30</v>
      </c>
      <c r="D32" s="174">
        <v>20.5</v>
      </c>
      <c r="E32" s="174">
        <v>9.8000000000000007</v>
      </c>
      <c r="F32" s="46"/>
    </row>
    <row r="33" spans="1:6" ht="12.75" customHeight="1" x14ac:dyDescent="0.25">
      <c r="B33" s="163"/>
      <c r="C33" s="167"/>
      <c r="D33" s="46"/>
      <c r="E33" s="46"/>
      <c r="F33" s="46"/>
    </row>
    <row r="34" spans="1:6" ht="12.75" customHeight="1" x14ac:dyDescent="0.25">
      <c r="A34" s="295" t="s">
        <v>167</v>
      </c>
      <c r="B34" s="295"/>
      <c r="C34" s="295"/>
      <c r="D34" s="295"/>
      <c r="E34" s="295"/>
      <c r="F34" s="46"/>
    </row>
    <row r="35" spans="1:6" ht="12.75" customHeight="1" x14ac:dyDescent="0.25">
      <c r="A35" s="295"/>
      <c r="B35" s="295"/>
      <c r="C35" s="295"/>
      <c r="D35" s="295"/>
      <c r="E35" s="295"/>
      <c r="F35" s="46"/>
    </row>
    <row r="36" spans="1:6" ht="12.75" customHeight="1" x14ac:dyDescent="0.25">
      <c r="A36" s="295"/>
      <c r="B36" s="295"/>
      <c r="C36" s="295"/>
      <c r="D36" s="295"/>
      <c r="E36" s="295"/>
      <c r="F36" s="46"/>
    </row>
    <row r="37" spans="1:6" ht="12.75" customHeight="1" x14ac:dyDescent="0.25">
      <c r="B37" s="168"/>
      <c r="C37" s="168"/>
    </row>
    <row r="38" spans="1:6" ht="12.75" customHeight="1" x14ac:dyDescent="0.25">
      <c r="A38" s="295" t="s">
        <v>185</v>
      </c>
      <c r="B38" s="295"/>
      <c r="C38" s="295"/>
      <c r="D38" s="295"/>
      <c r="E38" s="295"/>
    </row>
    <row r="39" spans="1:6" ht="12.75" customHeight="1" x14ac:dyDescent="0.25">
      <c r="A39" s="295"/>
      <c r="B39" s="295"/>
      <c r="C39" s="295"/>
      <c r="D39" s="295"/>
      <c r="E39" s="295"/>
    </row>
    <row r="40" spans="1:6" ht="12.75" customHeight="1" x14ac:dyDescent="0.25">
      <c r="B40" s="168"/>
      <c r="C40" s="168"/>
    </row>
    <row r="41" spans="1:6" ht="12.75" customHeight="1" x14ac:dyDescent="0.25">
      <c r="A41" s="259" t="s">
        <v>164</v>
      </c>
      <c r="B41" s="259"/>
      <c r="C41" s="259"/>
      <c r="D41" s="259"/>
      <c r="E41" s="259"/>
    </row>
    <row r="42" spans="1:6" ht="12.75" customHeight="1" x14ac:dyDescent="0.25">
      <c r="A42" s="259"/>
      <c r="B42" s="259"/>
      <c r="C42" s="259"/>
      <c r="D42" s="259"/>
      <c r="E42" s="259"/>
    </row>
    <row r="43" spans="1:6" ht="12.75" customHeight="1" x14ac:dyDescent="0.25">
      <c r="A43" s="259"/>
      <c r="B43" s="259"/>
      <c r="C43" s="259"/>
      <c r="D43" s="259"/>
      <c r="E43" s="259"/>
    </row>
    <row r="44" spans="1:6" ht="12.75" customHeight="1" x14ac:dyDescent="0.25"/>
    <row r="45" spans="1:6" ht="12.75" customHeight="1" x14ac:dyDescent="0.25"/>
  </sheetData>
  <sortState ref="A24:E25">
    <sortCondition ref="B24:B25"/>
  </sortState>
  <mergeCells count="4">
    <mergeCell ref="C5:E5"/>
    <mergeCell ref="A34:E36"/>
    <mergeCell ref="A38:E39"/>
    <mergeCell ref="A41:E43"/>
  </mergeCells>
  <phoneticPr fontId="68" type="noConversion"/>
  <pageMargins left="0.7" right="0.7" top="0.75" bottom="0.75" header="0.3" footer="0.3"/>
  <pageSetup scale="77" orientation="portrait" r:id="rId1"/>
  <ignoredErrors>
    <ignoredError sqref="E4 A4" numberStoredAsText="1"/>
  </ignoredError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F61"/>
  <sheetViews>
    <sheetView topLeftCell="A13" zoomScaleNormal="100" zoomScaleSheetLayoutView="100" workbookViewId="0"/>
  </sheetViews>
  <sheetFormatPr defaultColWidth="8.85546875" defaultRowHeight="15" x14ac:dyDescent="0.25"/>
  <cols>
    <col min="1" max="1" width="8.85546875" style="27"/>
    <col min="2" max="2" width="14.42578125" style="27" customWidth="1"/>
    <col min="3" max="3" width="17.140625" style="27" customWidth="1"/>
    <col min="4" max="4" width="20.7109375" style="27" customWidth="1"/>
    <col min="5" max="5" width="15.42578125" customWidth="1"/>
    <col min="6" max="6" width="12.42578125" bestFit="1" customWidth="1"/>
  </cols>
  <sheetData>
    <row r="1" spans="1:4" x14ac:dyDescent="0.25">
      <c r="A1" s="21" t="s">
        <v>56</v>
      </c>
    </row>
    <row r="2" spans="1:4" x14ac:dyDescent="0.25">
      <c r="A2" s="37"/>
    </row>
    <row r="3" spans="1:4" s="1" customFormat="1" ht="12.75" x14ac:dyDescent="0.2">
      <c r="A3" s="38" t="s">
        <v>51</v>
      </c>
      <c r="B3" s="99" t="s">
        <v>52</v>
      </c>
      <c r="C3" s="257" t="s">
        <v>53</v>
      </c>
      <c r="D3" s="257"/>
    </row>
    <row r="4" spans="1:4" s="1" customFormat="1" ht="12.75" x14ac:dyDescent="0.2">
      <c r="A4" s="39"/>
      <c r="B4" s="97" t="s">
        <v>54</v>
      </c>
      <c r="C4" s="101" t="s">
        <v>54</v>
      </c>
      <c r="D4" s="97" t="s">
        <v>55</v>
      </c>
    </row>
    <row r="5" spans="1:4" s="1" customFormat="1" ht="12.75" x14ac:dyDescent="0.2">
      <c r="A5" s="39"/>
      <c r="B5" s="40"/>
      <c r="C5" s="41"/>
      <c r="D5" s="40"/>
    </row>
    <row r="6" spans="1:4" s="1" customFormat="1" ht="12.75" x14ac:dyDescent="0.2">
      <c r="A6" s="39">
        <v>1960</v>
      </c>
      <c r="B6" s="26">
        <v>815.24699999999996</v>
      </c>
      <c r="C6" s="30">
        <v>203.11</v>
      </c>
      <c r="D6" s="187">
        <f>C6/B6*365</f>
        <v>90.935814544549089</v>
      </c>
    </row>
    <row r="7" spans="1:4" s="1" customFormat="1" ht="12.75" x14ac:dyDescent="0.2">
      <c r="A7" s="39">
        <v>1961</v>
      </c>
      <c r="B7" s="26">
        <v>816.702</v>
      </c>
      <c r="C7" s="30">
        <v>181.97900000000001</v>
      </c>
      <c r="D7" s="187">
        <f t="shared" ref="D7:D57" si="0">C7/B7*365</f>
        <v>81.329952663272536</v>
      </c>
    </row>
    <row r="8" spans="1:4" s="1" customFormat="1" ht="12.75" x14ac:dyDescent="0.2">
      <c r="A8" s="39">
        <v>1962</v>
      </c>
      <c r="B8" s="26">
        <v>837.71600000000001</v>
      </c>
      <c r="C8" s="30">
        <v>189.79499999999999</v>
      </c>
      <c r="D8" s="187">
        <f t="shared" si="0"/>
        <v>82.695298884108681</v>
      </c>
    </row>
    <row r="9" spans="1:4" s="1" customFormat="1" ht="12.75" x14ac:dyDescent="0.2">
      <c r="A9" s="39">
        <v>1963</v>
      </c>
      <c r="B9" s="26">
        <v>852.07299999999998</v>
      </c>
      <c r="C9" s="30">
        <v>192.64599999999999</v>
      </c>
      <c r="D9" s="187">
        <f t="shared" si="0"/>
        <v>82.523199303346075</v>
      </c>
    </row>
    <row r="10" spans="1:4" s="1" customFormat="1" ht="12.75" x14ac:dyDescent="0.2">
      <c r="A10" s="39">
        <v>1964</v>
      </c>
      <c r="B10" s="26">
        <v>895.76400000000001</v>
      </c>
      <c r="C10" s="30">
        <v>193.773</v>
      </c>
      <c r="D10" s="187">
        <f t="shared" si="0"/>
        <v>78.957342558977587</v>
      </c>
    </row>
    <row r="11" spans="1:4" s="1" customFormat="1" ht="12.75" x14ac:dyDescent="0.2">
      <c r="A11" s="39">
        <v>1965</v>
      </c>
      <c r="B11" s="26">
        <v>931.98500000000001</v>
      </c>
      <c r="C11" s="30">
        <v>159.14099999999999</v>
      </c>
      <c r="D11" s="187">
        <f t="shared" si="0"/>
        <v>62.325536355198849</v>
      </c>
    </row>
    <row r="12" spans="1:4" s="1" customFormat="1" ht="12.75" x14ac:dyDescent="0.2">
      <c r="A12" s="39">
        <v>1966</v>
      </c>
      <c r="B12" s="26">
        <v>956.524</v>
      </c>
      <c r="C12" s="30">
        <v>189.47399999999999</v>
      </c>
      <c r="D12" s="187">
        <f t="shared" si="0"/>
        <v>72.301385014908135</v>
      </c>
    </row>
    <row r="13" spans="1:4" s="1" customFormat="1" ht="12.75" x14ac:dyDescent="0.2">
      <c r="A13" s="39">
        <v>1967</v>
      </c>
      <c r="B13" s="26">
        <v>987.53499999999997</v>
      </c>
      <c r="C13" s="30">
        <v>213.316</v>
      </c>
      <c r="D13" s="187">
        <f t="shared" si="0"/>
        <v>78.843119484372707</v>
      </c>
    </row>
    <row r="14" spans="1:4" s="1" customFormat="1" ht="12.75" x14ac:dyDescent="0.2">
      <c r="A14" s="39">
        <v>1968</v>
      </c>
      <c r="B14" s="26">
        <v>1019.986</v>
      </c>
      <c r="C14" s="30">
        <v>243.67099999999999</v>
      </c>
      <c r="D14" s="187">
        <f t="shared" si="0"/>
        <v>87.197191922242069</v>
      </c>
    </row>
    <row r="15" spans="1:4" s="1" customFormat="1" ht="12.75" x14ac:dyDescent="0.2">
      <c r="A15" s="39">
        <v>1969</v>
      </c>
      <c r="B15" s="26">
        <v>1068.7059999999999</v>
      </c>
      <c r="C15" s="30">
        <v>227.78100000000001</v>
      </c>
      <c r="D15" s="187">
        <f t="shared" si="0"/>
        <v>77.795076475663109</v>
      </c>
    </row>
    <row r="16" spans="1:4" s="1" customFormat="1" ht="12.75" x14ac:dyDescent="0.2">
      <c r="A16" s="39">
        <v>1970</v>
      </c>
      <c r="B16" s="26">
        <v>1107.951</v>
      </c>
      <c r="C16" s="30">
        <v>192.88300000000001</v>
      </c>
      <c r="D16" s="187">
        <f t="shared" si="0"/>
        <v>63.542787542048337</v>
      </c>
    </row>
    <row r="17" spans="1:6" s="1" customFormat="1" ht="12.75" x14ac:dyDescent="0.2">
      <c r="A17" s="39">
        <v>1971</v>
      </c>
      <c r="B17" s="26">
        <v>1149.9739999999999</v>
      </c>
      <c r="C17" s="30">
        <v>217.52500000000001</v>
      </c>
      <c r="D17" s="187">
        <f t="shared" si="0"/>
        <v>69.042104430187123</v>
      </c>
    </row>
    <row r="18" spans="1:6" s="1" customFormat="1" ht="12.75" x14ac:dyDescent="0.2">
      <c r="A18" s="39">
        <v>1972</v>
      </c>
      <c r="B18" s="26">
        <v>1173.6210000000001</v>
      </c>
      <c r="C18" s="30">
        <v>180.27699999999999</v>
      </c>
      <c r="D18" s="187">
        <f t="shared" si="0"/>
        <v>56.066741307457853</v>
      </c>
    </row>
    <row r="19" spans="1:6" s="1" customFormat="1" ht="12.75" x14ac:dyDescent="0.2">
      <c r="A19" s="39">
        <v>1973</v>
      </c>
      <c r="B19" s="26">
        <v>1229.8109999999999</v>
      </c>
      <c r="C19" s="30">
        <v>191.78</v>
      </c>
      <c r="D19" s="187">
        <f t="shared" si="0"/>
        <v>56.919071304452473</v>
      </c>
    </row>
    <row r="20" spans="1:6" s="1" customFormat="1" ht="12.75" x14ac:dyDescent="0.2">
      <c r="A20" s="39">
        <v>1974</v>
      </c>
      <c r="B20" s="26">
        <v>1190.4639999999999</v>
      </c>
      <c r="C20" s="30">
        <v>198.93299999999999</v>
      </c>
      <c r="D20" s="187">
        <f t="shared" si="0"/>
        <v>60.993482373259504</v>
      </c>
    </row>
    <row r="21" spans="1:6" s="1" customFormat="1" ht="12.75" x14ac:dyDescent="0.2">
      <c r="A21" s="39">
        <v>1975</v>
      </c>
      <c r="B21" s="26">
        <v>1211.8340000000001</v>
      </c>
      <c r="C21" s="30">
        <v>218.928</v>
      </c>
      <c r="D21" s="187">
        <f t="shared" si="0"/>
        <v>65.940318558482431</v>
      </c>
    </row>
    <row r="22" spans="1:6" s="1" customFormat="1" ht="12.75" x14ac:dyDescent="0.2">
      <c r="A22" s="39">
        <v>1976</v>
      </c>
      <c r="B22" s="26">
        <v>1272.7629999999999</v>
      </c>
      <c r="C22" s="30">
        <v>279.947</v>
      </c>
      <c r="D22" s="187">
        <f t="shared" si="0"/>
        <v>80.282546711367317</v>
      </c>
    </row>
    <row r="23" spans="1:6" s="1" customFormat="1" ht="12.75" x14ac:dyDescent="0.2">
      <c r="A23" s="39">
        <v>1977</v>
      </c>
      <c r="B23" s="26">
        <v>1319.4369999999999</v>
      </c>
      <c r="C23" s="30">
        <v>277.97800000000001</v>
      </c>
      <c r="D23" s="187">
        <f t="shared" si="0"/>
        <v>76.897926918829782</v>
      </c>
    </row>
    <row r="24" spans="1:6" s="1" customFormat="1" ht="12.75" x14ac:dyDescent="0.2">
      <c r="A24" s="39">
        <v>1978</v>
      </c>
      <c r="B24" s="26">
        <v>1380.0640000000001</v>
      </c>
      <c r="C24" s="30">
        <v>333.02199999999999</v>
      </c>
      <c r="D24" s="187">
        <f t="shared" si="0"/>
        <v>88.077821028589966</v>
      </c>
    </row>
    <row r="25" spans="1:6" s="1" customFormat="1" ht="12.75" x14ac:dyDescent="0.2">
      <c r="A25" s="39">
        <v>1979</v>
      </c>
      <c r="B25" s="26">
        <v>1415.694</v>
      </c>
      <c r="C25" s="30">
        <v>327.733</v>
      </c>
      <c r="D25" s="187">
        <f t="shared" si="0"/>
        <v>84.497458490323481</v>
      </c>
    </row>
    <row r="26" spans="1:6" s="1" customFormat="1" ht="12.75" x14ac:dyDescent="0.2">
      <c r="A26" s="39">
        <v>1980</v>
      </c>
      <c r="B26" s="26">
        <v>1439.934</v>
      </c>
      <c r="C26" s="30">
        <v>307.85399999999998</v>
      </c>
      <c r="D26" s="187">
        <f t="shared" si="0"/>
        <v>78.036014150648569</v>
      </c>
    </row>
    <row r="27" spans="1:6" s="1" customFormat="1" ht="12.75" x14ac:dyDescent="0.2">
      <c r="A27" s="39">
        <v>1981</v>
      </c>
      <c r="B27" s="26">
        <v>1457.8040000000001</v>
      </c>
      <c r="C27" s="30">
        <v>331.476</v>
      </c>
      <c r="D27" s="187">
        <f t="shared" si="0"/>
        <v>82.993831818269115</v>
      </c>
    </row>
    <row r="28" spans="1:6" s="1" customFormat="1" ht="12.75" x14ac:dyDescent="0.2">
      <c r="A28" s="39">
        <v>1982</v>
      </c>
      <c r="B28" s="26">
        <v>1474.6369999999999</v>
      </c>
      <c r="C28" s="30">
        <v>388.91800000000001</v>
      </c>
      <c r="D28" s="187">
        <f t="shared" si="0"/>
        <v>96.264416259730353</v>
      </c>
    </row>
    <row r="29" spans="1:6" s="1" customFormat="1" ht="12.75" x14ac:dyDescent="0.2">
      <c r="A29" s="39">
        <v>1983</v>
      </c>
      <c r="B29" s="26">
        <v>1500.9179999999999</v>
      </c>
      <c r="C29" s="30">
        <v>347.82</v>
      </c>
      <c r="D29" s="187">
        <f t="shared" si="0"/>
        <v>84.584434326192365</v>
      </c>
    </row>
    <row r="30" spans="1:6" s="1" customFormat="1" ht="12.75" x14ac:dyDescent="0.2">
      <c r="A30" s="39">
        <v>1984</v>
      </c>
      <c r="B30" s="26">
        <v>1548.9839999999999</v>
      </c>
      <c r="C30" s="30">
        <v>427.64699999999999</v>
      </c>
      <c r="D30" s="187">
        <f t="shared" si="0"/>
        <v>100.77002409321206</v>
      </c>
      <c r="F30" s="2"/>
    </row>
    <row r="31" spans="1:6" s="1" customFormat="1" ht="12.75" x14ac:dyDescent="0.2">
      <c r="A31" s="39">
        <v>1985</v>
      </c>
      <c r="B31" s="26">
        <v>1552.701</v>
      </c>
      <c r="C31" s="30">
        <v>518.33799999999997</v>
      </c>
      <c r="D31" s="187">
        <f t="shared" si="0"/>
        <v>121.84790890197145</v>
      </c>
      <c r="F31" s="2"/>
    </row>
    <row r="32" spans="1:6" s="1" customFormat="1" ht="12.75" x14ac:dyDescent="0.2">
      <c r="A32" s="39">
        <v>1986</v>
      </c>
      <c r="B32" s="26">
        <v>1601.375</v>
      </c>
      <c r="C32" s="30">
        <v>572.48099999999999</v>
      </c>
      <c r="D32" s="187">
        <f t="shared" si="0"/>
        <v>130.48509249863397</v>
      </c>
      <c r="F32" s="2"/>
    </row>
    <row r="33" spans="1:6" s="1" customFormat="1" ht="12.75" x14ac:dyDescent="0.2">
      <c r="A33" s="39">
        <v>1987</v>
      </c>
      <c r="B33" s="26">
        <v>1639.7170000000001</v>
      </c>
      <c r="C33" s="30">
        <v>528.39800000000002</v>
      </c>
      <c r="D33" s="187">
        <f t="shared" si="0"/>
        <v>117.62107119704193</v>
      </c>
    </row>
    <row r="34" spans="1:6" s="1" customFormat="1" ht="12.75" x14ac:dyDescent="0.2">
      <c r="A34" s="39">
        <v>1988</v>
      </c>
      <c r="B34" s="26">
        <v>1620.4010000000001</v>
      </c>
      <c r="C34" s="30">
        <v>450.96199999999999</v>
      </c>
      <c r="D34" s="187">
        <f t="shared" si="0"/>
        <v>101.5804914956236</v>
      </c>
    </row>
    <row r="35" spans="1:6" s="1" customFormat="1" ht="12.75" x14ac:dyDescent="0.2">
      <c r="A35" s="39">
        <v>1989</v>
      </c>
      <c r="B35" s="26">
        <v>1676.7260000000001</v>
      </c>
      <c r="C35" s="30">
        <v>441.16500000000002</v>
      </c>
      <c r="D35" s="187">
        <f t="shared" si="0"/>
        <v>96.035503117384707</v>
      </c>
    </row>
    <row r="36" spans="1:6" s="1" customFormat="1" ht="12.75" x14ac:dyDescent="0.2">
      <c r="A36" s="39">
        <v>1990</v>
      </c>
      <c r="B36" s="26">
        <v>1706.972</v>
      </c>
      <c r="C36" s="30">
        <v>495.35199999999998</v>
      </c>
      <c r="D36" s="187">
        <f t="shared" si="0"/>
        <v>105.92058920708716</v>
      </c>
      <c r="F36" s="5"/>
    </row>
    <row r="37" spans="1:6" s="1" customFormat="1" ht="12.75" x14ac:dyDescent="0.2">
      <c r="A37" s="39">
        <v>1991</v>
      </c>
      <c r="B37" s="26">
        <v>1713.6079999999999</v>
      </c>
      <c r="C37" s="30">
        <v>486.17399999999998</v>
      </c>
      <c r="D37" s="187">
        <f t="shared" si="0"/>
        <v>103.55548643563756</v>
      </c>
    </row>
    <row r="38" spans="1:6" s="1" customFormat="1" ht="12.75" x14ac:dyDescent="0.2">
      <c r="A38" s="39">
        <v>1992</v>
      </c>
      <c r="B38" s="26">
        <v>1736.066</v>
      </c>
      <c r="C38" s="30">
        <v>522.39099999999996</v>
      </c>
      <c r="D38" s="187">
        <f t="shared" si="0"/>
        <v>109.83033767149405</v>
      </c>
    </row>
    <row r="39" spans="1:6" s="1" customFormat="1" ht="12.75" x14ac:dyDescent="0.2">
      <c r="A39" s="39">
        <v>1993</v>
      </c>
      <c r="B39" s="26">
        <v>1739.693</v>
      </c>
      <c r="C39" s="30">
        <v>485.01100000000002</v>
      </c>
      <c r="D39" s="187">
        <f t="shared" si="0"/>
        <v>101.75876720777748</v>
      </c>
    </row>
    <row r="40" spans="1:6" s="1" customFormat="1" ht="12.75" x14ac:dyDescent="0.2">
      <c r="A40" s="39">
        <v>1994</v>
      </c>
      <c r="B40" s="26">
        <v>1762.289</v>
      </c>
      <c r="C40" s="30">
        <v>480.13099999999997</v>
      </c>
      <c r="D40" s="187">
        <f t="shared" si="0"/>
        <v>99.443289381026602</v>
      </c>
    </row>
    <row r="41" spans="1:6" s="1" customFormat="1" ht="12.75" x14ac:dyDescent="0.2">
      <c r="A41" s="39">
        <v>1995</v>
      </c>
      <c r="B41" s="26">
        <v>1740.895</v>
      </c>
      <c r="C41" s="30">
        <v>437.18400000000003</v>
      </c>
      <c r="D41" s="187">
        <f t="shared" si="0"/>
        <v>91.660990467546867</v>
      </c>
    </row>
    <row r="42" spans="1:6" s="1" customFormat="1" ht="12.75" x14ac:dyDescent="0.2">
      <c r="A42" s="39">
        <v>1996</v>
      </c>
      <c r="B42" s="26">
        <v>1808.8820000000001</v>
      </c>
      <c r="C42" s="30">
        <v>486.96699999999998</v>
      </c>
      <c r="D42" s="187">
        <f t="shared" si="0"/>
        <v>98.261221572219739</v>
      </c>
    </row>
    <row r="43" spans="1:6" s="1" customFormat="1" ht="12.75" x14ac:dyDescent="0.2">
      <c r="A43" s="39">
        <v>1997</v>
      </c>
      <c r="B43" s="26">
        <v>1820.884</v>
      </c>
      <c r="C43" s="30">
        <v>541.35500000000002</v>
      </c>
      <c r="D43" s="187">
        <f t="shared" si="0"/>
        <v>108.51574015697871</v>
      </c>
    </row>
    <row r="44" spans="1:6" s="1" customFormat="1" ht="12.75" x14ac:dyDescent="0.2">
      <c r="A44" s="39">
        <v>1998</v>
      </c>
      <c r="B44" s="26">
        <v>1835.3130000000001</v>
      </c>
      <c r="C44" s="30">
        <v>581.46699999999998</v>
      </c>
      <c r="D44" s="187">
        <f t="shared" si="0"/>
        <v>115.63992354437634</v>
      </c>
    </row>
    <row r="45" spans="1:6" s="1" customFormat="1" ht="12.75" x14ac:dyDescent="0.2">
      <c r="A45" s="39">
        <v>1999</v>
      </c>
      <c r="B45" s="26">
        <v>1855.875</v>
      </c>
      <c r="C45" s="30">
        <v>586.87099999999998</v>
      </c>
      <c r="D45" s="187">
        <f t="shared" si="0"/>
        <v>115.42152084596215</v>
      </c>
      <c r="E45" s="4"/>
      <c r="F45" s="4"/>
    </row>
    <row r="46" spans="1:6" s="1" customFormat="1" ht="12.75" x14ac:dyDescent="0.2">
      <c r="A46" s="39">
        <v>2000</v>
      </c>
      <c r="B46" s="26">
        <v>1861.1849999999999</v>
      </c>
      <c r="C46" s="30">
        <v>565.83000000000004</v>
      </c>
      <c r="D46" s="187">
        <f t="shared" si="0"/>
        <v>110.96583628172377</v>
      </c>
      <c r="E46" s="3"/>
      <c r="F46" s="3"/>
    </row>
    <row r="47" spans="1:6" s="1" customFormat="1" ht="12.75" x14ac:dyDescent="0.2">
      <c r="A47" s="39">
        <v>2001</v>
      </c>
      <c r="B47" s="26">
        <v>1904.7660000000001</v>
      </c>
      <c r="C47" s="30">
        <v>536.62300000000005</v>
      </c>
      <c r="D47" s="187">
        <f t="shared" si="0"/>
        <v>102.83016129015323</v>
      </c>
      <c r="E47" s="3"/>
      <c r="F47" s="3"/>
    </row>
    <row r="48" spans="1:6" s="1" customFormat="1" ht="12.75" x14ac:dyDescent="0.2">
      <c r="A48" s="39">
        <v>2002</v>
      </c>
      <c r="B48" s="26">
        <v>1909.4259999999999</v>
      </c>
      <c r="C48" s="30">
        <v>444.25900000000001</v>
      </c>
      <c r="D48" s="187">
        <f t="shared" si="0"/>
        <v>84.923183721181132</v>
      </c>
      <c r="E48" s="3"/>
      <c r="F48" s="3"/>
    </row>
    <row r="49" spans="1:6" s="1" customFormat="1" ht="12.75" x14ac:dyDescent="0.2">
      <c r="A49" s="39">
        <v>2003</v>
      </c>
      <c r="B49" s="26">
        <v>1935.944</v>
      </c>
      <c r="C49" s="30">
        <v>360.423</v>
      </c>
      <c r="D49" s="187">
        <f t="shared" si="0"/>
        <v>67.953615910377579</v>
      </c>
      <c r="E49" s="3"/>
      <c r="F49" s="3"/>
    </row>
    <row r="50" spans="1:6" s="1" customFormat="1" ht="12.75" x14ac:dyDescent="0.2">
      <c r="A50" s="39">
        <v>2004</v>
      </c>
      <c r="B50" s="26">
        <v>1989.5619999999999</v>
      </c>
      <c r="C50" s="30">
        <v>410.04199999999997</v>
      </c>
      <c r="D50" s="187">
        <f t="shared" si="0"/>
        <v>75.225265661487299</v>
      </c>
    </row>
    <row r="51" spans="1:6" s="1" customFormat="1" ht="12.75" x14ac:dyDescent="0.2">
      <c r="A51" s="39">
        <v>2005</v>
      </c>
      <c r="B51" s="26">
        <v>2020.0309999999999</v>
      </c>
      <c r="C51" s="30">
        <v>396.464</v>
      </c>
      <c r="D51" s="187">
        <f t="shared" si="0"/>
        <v>71.637197646966797</v>
      </c>
    </row>
    <row r="52" spans="1:6" s="1" customFormat="1" ht="12.75" x14ac:dyDescent="0.2">
      <c r="A52" s="39">
        <v>2006</v>
      </c>
      <c r="B52" s="26">
        <v>2044.9390000000001</v>
      </c>
      <c r="C52" s="30">
        <v>350.63799999999998</v>
      </c>
      <c r="D52" s="187">
        <f t="shared" si="0"/>
        <v>62.585177357368593</v>
      </c>
    </row>
    <row r="53" spans="1:6" s="1" customFormat="1" ht="12.75" x14ac:dyDescent="0.2">
      <c r="A53" s="39">
        <v>2007</v>
      </c>
      <c r="B53" s="26">
        <v>2096.8209999999999</v>
      </c>
      <c r="C53" s="30">
        <v>373.447</v>
      </c>
      <c r="D53" s="187">
        <f t="shared" si="0"/>
        <v>65.007053534851096</v>
      </c>
    </row>
    <row r="54" spans="1:6" s="1" customFormat="1" ht="12.75" x14ac:dyDescent="0.2">
      <c r="A54" s="39">
        <v>2008</v>
      </c>
      <c r="B54" s="26">
        <v>2151.7449999999999</v>
      </c>
      <c r="C54" s="30">
        <v>455.34399999999999</v>
      </c>
      <c r="D54" s="187">
        <f t="shared" si="0"/>
        <v>77.239895991393041</v>
      </c>
    </row>
    <row r="55" spans="1:6" s="1" customFormat="1" ht="12.75" x14ac:dyDescent="0.2">
      <c r="A55" s="39">
        <v>2009</v>
      </c>
      <c r="B55" s="26">
        <v>2188.6849999999999</v>
      </c>
      <c r="C55" s="30">
        <v>491.30099999999999</v>
      </c>
      <c r="D55" s="187">
        <f t="shared" si="0"/>
        <v>81.932697030408661</v>
      </c>
    </row>
    <row r="56" spans="1:6" s="1" customFormat="1" ht="12.75" x14ac:dyDescent="0.2">
      <c r="A56" s="39">
        <v>2010</v>
      </c>
      <c r="B56" s="26">
        <v>2226.9430000000002</v>
      </c>
      <c r="C56" s="30">
        <v>458.19499999999999</v>
      </c>
      <c r="D56" s="187">
        <f t="shared" si="0"/>
        <v>75.098992205907379</v>
      </c>
    </row>
    <row r="57" spans="1:6" s="1" customFormat="1" ht="12.75" x14ac:dyDescent="0.2">
      <c r="A57" s="38">
        <v>2011</v>
      </c>
      <c r="B57" s="43">
        <v>2284.6329999999998</v>
      </c>
      <c r="C57" s="44">
        <v>464.12700000000001</v>
      </c>
      <c r="D57" s="188">
        <f t="shared" si="0"/>
        <v>74.150358066262726</v>
      </c>
    </row>
    <row r="58" spans="1:6" s="1" customFormat="1" ht="12.75" x14ac:dyDescent="0.2">
      <c r="A58" s="39"/>
      <c r="B58" s="30"/>
      <c r="C58" s="30"/>
      <c r="D58" s="42"/>
    </row>
    <row r="59" spans="1:6" ht="42" customHeight="1" x14ac:dyDescent="0.25">
      <c r="A59" s="258" t="s">
        <v>156</v>
      </c>
      <c r="B59" s="258"/>
      <c r="C59" s="258"/>
      <c r="D59" s="258"/>
      <c r="E59" s="258"/>
    </row>
    <row r="60" spans="1:6" ht="12.75" customHeight="1" x14ac:dyDescent="0.25">
      <c r="A60" s="45"/>
      <c r="B60" s="45"/>
      <c r="C60" s="45"/>
      <c r="D60" s="45"/>
      <c r="E60" s="19"/>
    </row>
    <row r="61" spans="1:6" ht="39.75" customHeight="1" x14ac:dyDescent="0.25">
      <c r="A61" s="259" t="s">
        <v>164</v>
      </c>
      <c r="B61" s="259"/>
      <c r="C61" s="259"/>
      <c r="D61" s="259"/>
      <c r="E61" s="259"/>
    </row>
  </sheetData>
  <mergeCells count="3">
    <mergeCell ref="C3:D3"/>
    <mergeCell ref="A59:E59"/>
    <mergeCell ref="A61:E61"/>
  </mergeCells>
  <phoneticPr fontId="68" type="noConversion"/>
  <pageMargins left="0.7" right="0.7" top="0.75" bottom="0.75" header="0.3" footer="0.3"/>
  <pageSetup scale="82"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E78"/>
  <sheetViews>
    <sheetView topLeftCell="A7" zoomScaleNormal="100" zoomScaleSheetLayoutView="100" workbookViewId="0"/>
  </sheetViews>
  <sheetFormatPr defaultColWidth="8.85546875" defaultRowHeight="15" x14ac:dyDescent="0.25"/>
  <cols>
    <col min="1" max="1" width="8.85546875" style="83"/>
    <col min="2" max="2" width="12.7109375" style="83" customWidth="1"/>
    <col min="3" max="3" width="16.7109375" style="83" customWidth="1"/>
    <col min="4" max="4" width="17.42578125" style="83" customWidth="1"/>
  </cols>
  <sheetData>
    <row r="1" spans="1:4" ht="12.75" customHeight="1" x14ac:dyDescent="0.25">
      <c r="A1" s="25" t="s">
        <v>58</v>
      </c>
    </row>
    <row r="2" spans="1:4" ht="12.75" customHeight="1" x14ac:dyDescent="0.25"/>
    <row r="3" spans="1:4" ht="12.75" customHeight="1" x14ac:dyDescent="0.25">
      <c r="A3" s="84" t="s">
        <v>51</v>
      </c>
      <c r="B3" s="115" t="s">
        <v>59</v>
      </c>
      <c r="C3" s="115" t="s">
        <v>60</v>
      </c>
      <c r="D3" s="115" t="s">
        <v>61</v>
      </c>
    </row>
    <row r="4" spans="1:4" ht="12.75" customHeight="1" x14ac:dyDescent="0.25">
      <c r="A4" s="85"/>
      <c r="B4" s="116" t="s">
        <v>54</v>
      </c>
      <c r="C4" s="117" t="s">
        <v>62</v>
      </c>
      <c r="D4" s="190" t="s">
        <v>182</v>
      </c>
    </row>
    <row r="5" spans="1:4" ht="12.75" customHeight="1" x14ac:dyDescent="0.25"/>
    <row r="6" spans="1:4" ht="12.75" customHeight="1" x14ac:dyDescent="0.25">
      <c r="A6" s="85">
        <v>1950</v>
      </c>
      <c r="B6" s="113">
        <v>631</v>
      </c>
      <c r="C6" s="102">
        <v>587</v>
      </c>
      <c r="D6" s="118">
        <f t="shared" ref="D6:D15" si="0">B6/C6</f>
        <v>1.0749574105621806</v>
      </c>
    </row>
    <row r="7" spans="1:4" ht="12.75" customHeight="1" x14ac:dyDescent="0.25">
      <c r="A7" s="85">
        <v>1951</v>
      </c>
      <c r="B7" s="113">
        <v>655</v>
      </c>
      <c r="C7" s="102">
        <v>593</v>
      </c>
      <c r="D7" s="118">
        <f t="shared" si="0"/>
        <v>1.1045531197301854</v>
      </c>
    </row>
    <row r="8" spans="1:4" ht="12.75" customHeight="1" x14ac:dyDescent="0.25">
      <c r="A8" s="85">
        <v>1952</v>
      </c>
      <c r="B8" s="113">
        <v>680</v>
      </c>
      <c r="C8" s="102">
        <v>604</v>
      </c>
      <c r="D8" s="118">
        <f t="shared" si="0"/>
        <v>1.1258278145695364</v>
      </c>
    </row>
    <row r="9" spans="1:4" ht="12.75" customHeight="1" x14ac:dyDescent="0.25">
      <c r="A9" s="85">
        <v>1953</v>
      </c>
      <c r="B9" s="113">
        <v>705</v>
      </c>
      <c r="C9" s="102">
        <v>623</v>
      </c>
      <c r="D9" s="118">
        <f t="shared" si="0"/>
        <v>1.131621187800963</v>
      </c>
    </row>
    <row r="10" spans="1:4" ht="12.75" customHeight="1" x14ac:dyDescent="0.25">
      <c r="A10" s="85">
        <v>1954</v>
      </c>
      <c r="B10" s="113">
        <v>730</v>
      </c>
      <c r="C10" s="104">
        <v>631</v>
      </c>
      <c r="D10" s="119">
        <f t="shared" si="0"/>
        <v>1.1568938193343898</v>
      </c>
    </row>
    <row r="11" spans="1:4" ht="12.75" customHeight="1" x14ac:dyDescent="0.25">
      <c r="A11" s="85">
        <v>1955</v>
      </c>
      <c r="B11" s="113">
        <v>759</v>
      </c>
      <c r="C11" s="104">
        <v>639</v>
      </c>
      <c r="D11" s="119">
        <f t="shared" si="0"/>
        <v>1.187793427230047</v>
      </c>
    </row>
    <row r="12" spans="1:4" ht="12.75" customHeight="1" x14ac:dyDescent="0.25">
      <c r="A12" s="85">
        <v>1956</v>
      </c>
      <c r="B12" s="113">
        <v>773</v>
      </c>
      <c r="C12" s="104">
        <v>640</v>
      </c>
      <c r="D12" s="119">
        <f t="shared" si="0"/>
        <v>1.2078125</v>
      </c>
    </row>
    <row r="13" spans="1:4" ht="12.75" customHeight="1" x14ac:dyDescent="0.25">
      <c r="A13" s="85">
        <v>1957</v>
      </c>
      <c r="B13" s="113">
        <v>788</v>
      </c>
      <c r="C13" s="104">
        <v>645</v>
      </c>
      <c r="D13" s="119">
        <f t="shared" si="0"/>
        <v>1.2217054263565892</v>
      </c>
    </row>
    <row r="14" spans="1:4" ht="12.75" customHeight="1" x14ac:dyDescent="0.25">
      <c r="A14" s="85">
        <v>1958</v>
      </c>
      <c r="B14" s="113">
        <v>802</v>
      </c>
      <c r="C14" s="104">
        <v>644</v>
      </c>
      <c r="D14" s="119">
        <f t="shared" si="0"/>
        <v>1.2453416149068324</v>
      </c>
    </row>
    <row r="15" spans="1:4" ht="12.75" customHeight="1" x14ac:dyDescent="0.25">
      <c r="A15" s="85">
        <v>1959</v>
      </c>
      <c r="B15" s="113">
        <v>815</v>
      </c>
      <c r="C15" s="104">
        <v>642</v>
      </c>
      <c r="D15" s="119">
        <f t="shared" si="0"/>
        <v>1.2694704049844237</v>
      </c>
    </row>
    <row r="16" spans="1:4" ht="12.75" customHeight="1" x14ac:dyDescent="0.25">
      <c r="A16" s="85">
        <v>1960</v>
      </c>
      <c r="B16" s="36">
        <v>823.55100000000004</v>
      </c>
      <c r="C16" s="109">
        <v>638.50800000000004</v>
      </c>
      <c r="D16" s="87">
        <f>B16/C16</f>
        <v>1.2898052960965249</v>
      </c>
    </row>
    <row r="17" spans="1:4" ht="12.75" customHeight="1" x14ac:dyDescent="0.25">
      <c r="A17" s="85">
        <v>1961</v>
      </c>
      <c r="B17" s="36">
        <v>799.50800000000004</v>
      </c>
      <c r="C17" s="109">
        <v>634.74599999999998</v>
      </c>
      <c r="D17" s="87">
        <f t="shared" ref="D17:D67" si="1">B17/C17</f>
        <v>1.2595715451534946</v>
      </c>
    </row>
    <row r="18" spans="1:4" ht="12.75" customHeight="1" x14ac:dyDescent="0.25">
      <c r="A18" s="85">
        <v>1962</v>
      </c>
      <c r="B18" s="36">
        <v>850.44500000000005</v>
      </c>
      <c r="C18" s="109">
        <v>641.05200000000002</v>
      </c>
      <c r="D18" s="87">
        <f t="shared" si="1"/>
        <v>1.3266396485776506</v>
      </c>
    </row>
    <row r="19" spans="1:4" ht="12.75" customHeight="1" x14ac:dyDescent="0.25">
      <c r="A19" s="85">
        <v>1963</v>
      </c>
      <c r="B19" s="36">
        <v>857.73800000000006</v>
      </c>
      <c r="C19" s="109">
        <v>648.31299999999999</v>
      </c>
      <c r="D19" s="87">
        <f t="shared" si="1"/>
        <v>1.3230306965925411</v>
      </c>
    </row>
    <row r="20" spans="1:4" ht="12.75" customHeight="1" x14ac:dyDescent="0.25">
      <c r="A20" s="85">
        <v>1964</v>
      </c>
      <c r="B20" s="36">
        <v>906.18399999999997</v>
      </c>
      <c r="C20" s="109">
        <v>656.67700000000002</v>
      </c>
      <c r="D20" s="87">
        <f t="shared" si="1"/>
        <v>1.3799539195068502</v>
      </c>
    </row>
    <row r="21" spans="1:4" ht="12.75" customHeight="1" x14ac:dyDescent="0.25">
      <c r="A21" s="85">
        <v>1965</v>
      </c>
      <c r="B21" s="36">
        <v>904.60699999999997</v>
      </c>
      <c r="C21" s="109">
        <v>652.62400000000002</v>
      </c>
      <c r="D21" s="87">
        <f t="shared" si="1"/>
        <v>1.3861074676996248</v>
      </c>
    </row>
    <row r="22" spans="1:4" ht="12.75" customHeight="1" x14ac:dyDescent="0.25">
      <c r="A22" s="85">
        <v>1966</v>
      </c>
      <c r="B22" s="36">
        <v>988.46400000000006</v>
      </c>
      <c r="C22" s="109">
        <v>654.78899999999999</v>
      </c>
      <c r="D22" s="87">
        <f t="shared" si="1"/>
        <v>1.5095916394441569</v>
      </c>
    </row>
    <row r="23" spans="1:4" ht="12.75" customHeight="1" x14ac:dyDescent="0.25">
      <c r="A23" s="85">
        <v>1967</v>
      </c>
      <c r="B23" s="36">
        <v>1014.222</v>
      </c>
      <c r="C23" s="109">
        <v>665.18299999999999</v>
      </c>
      <c r="D23" s="87">
        <f t="shared" si="1"/>
        <v>1.5247262783324289</v>
      </c>
    </row>
    <row r="24" spans="1:4" ht="12.75" customHeight="1" x14ac:dyDescent="0.25">
      <c r="A24" s="85">
        <v>1968</v>
      </c>
      <c r="B24" s="36">
        <v>1052.4590000000001</v>
      </c>
      <c r="C24" s="109">
        <v>670.17700000000002</v>
      </c>
      <c r="D24" s="87">
        <f t="shared" si="1"/>
        <v>1.5704194563525755</v>
      </c>
    </row>
    <row r="25" spans="1:4" ht="12.75" customHeight="1" x14ac:dyDescent="0.25">
      <c r="A25" s="85">
        <v>1969</v>
      </c>
      <c r="B25" s="36">
        <v>1063.107</v>
      </c>
      <c r="C25" s="109">
        <v>671.779</v>
      </c>
      <c r="D25" s="87">
        <f t="shared" si="1"/>
        <v>1.5825249077449577</v>
      </c>
    </row>
    <row r="26" spans="1:4" ht="12.75" customHeight="1" x14ac:dyDescent="0.25">
      <c r="A26" s="85">
        <v>1970</v>
      </c>
      <c r="B26" s="36">
        <v>1078.7059999999999</v>
      </c>
      <c r="C26" s="109">
        <v>662.85</v>
      </c>
      <c r="D26" s="87">
        <f t="shared" si="1"/>
        <v>1.6273757260315302</v>
      </c>
    </row>
    <row r="27" spans="1:4" ht="12.75" customHeight="1" x14ac:dyDescent="0.25">
      <c r="A27" s="85">
        <v>1971</v>
      </c>
      <c r="B27" s="36">
        <v>1177.258</v>
      </c>
      <c r="C27" s="109">
        <v>671.97500000000002</v>
      </c>
      <c r="D27" s="87">
        <f t="shared" si="1"/>
        <v>1.7519372000446445</v>
      </c>
    </row>
    <row r="28" spans="1:4" ht="12.75" customHeight="1" x14ac:dyDescent="0.25">
      <c r="A28" s="85">
        <v>1972</v>
      </c>
      <c r="B28" s="36">
        <v>1140.6099999999999</v>
      </c>
      <c r="C28" s="109">
        <v>660.899</v>
      </c>
      <c r="D28" s="87">
        <f t="shared" si="1"/>
        <v>1.7258461580362505</v>
      </c>
    </row>
    <row r="29" spans="1:4" ht="12.75" customHeight="1" x14ac:dyDescent="0.25">
      <c r="A29" s="85">
        <v>1973</v>
      </c>
      <c r="B29" s="36">
        <v>1252.9549999999999</v>
      </c>
      <c r="C29" s="109">
        <v>688.15300000000002</v>
      </c>
      <c r="D29" s="87">
        <f t="shared" si="1"/>
        <v>1.8207506179585062</v>
      </c>
    </row>
    <row r="30" spans="1:4" ht="12.75" customHeight="1" x14ac:dyDescent="0.25">
      <c r="A30" s="85">
        <v>1974</v>
      </c>
      <c r="B30" s="36">
        <v>1203.498</v>
      </c>
      <c r="C30" s="109">
        <v>690.49699999999996</v>
      </c>
      <c r="D30" s="87">
        <f t="shared" si="1"/>
        <v>1.7429445747048866</v>
      </c>
    </row>
    <row r="31" spans="1:4" ht="12.75" customHeight="1" x14ac:dyDescent="0.25">
      <c r="A31" s="85">
        <v>1975</v>
      </c>
      <c r="B31" s="36">
        <v>1236.5350000000001</v>
      </c>
      <c r="C31" s="109">
        <v>707.40499999999997</v>
      </c>
      <c r="D31" s="87">
        <f t="shared" si="1"/>
        <v>1.747987362260657</v>
      </c>
    </row>
    <row r="32" spans="1:4" ht="12.75" customHeight="1" x14ac:dyDescent="0.25">
      <c r="A32" s="85">
        <v>1976</v>
      </c>
      <c r="B32" s="36">
        <v>1341.7529999999999</v>
      </c>
      <c r="C32" s="109">
        <v>716.09500000000003</v>
      </c>
      <c r="D32" s="87">
        <f t="shared" si="1"/>
        <v>1.8737080973893128</v>
      </c>
    </row>
    <row r="33" spans="1:4" ht="12.75" customHeight="1" x14ac:dyDescent="0.25">
      <c r="A33" s="85">
        <v>1977</v>
      </c>
      <c r="B33" s="36">
        <v>1318.999</v>
      </c>
      <c r="C33" s="109">
        <v>713.56899999999996</v>
      </c>
      <c r="D33" s="87">
        <f t="shared" si="1"/>
        <v>1.848453338079429</v>
      </c>
    </row>
    <row r="34" spans="1:4" ht="12.75" customHeight="1" x14ac:dyDescent="0.25">
      <c r="A34" s="85">
        <v>1978</v>
      </c>
      <c r="B34" s="36">
        <v>1445.1420000000001</v>
      </c>
      <c r="C34" s="109">
        <v>712.90599999999995</v>
      </c>
      <c r="D34" s="87">
        <f t="shared" si="1"/>
        <v>2.0271143741250603</v>
      </c>
    </row>
    <row r="35" spans="1:4" ht="12.75" customHeight="1" x14ac:dyDescent="0.25">
      <c r="A35" s="85">
        <v>1979</v>
      </c>
      <c r="B35" s="36">
        <v>1409.2349999999999</v>
      </c>
      <c r="C35" s="109">
        <v>710.27700000000004</v>
      </c>
      <c r="D35" s="87">
        <f t="shared" si="1"/>
        <v>1.9840639637775119</v>
      </c>
    </row>
    <row r="36" spans="1:4" ht="12.75" customHeight="1" x14ac:dyDescent="0.25">
      <c r="A36" s="85">
        <v>1980</v>
      </c>
      <c r="B36" s="36">
        <v>1429.2380000000001</v>
      </c>
      <c r="C36" s="109">
        <v>721.97</v>
      </c>
      <c r="D36" s="87">
        <f t="shared" si="1"/>
        <v>1.9796362729753314</v>
      </c>
    </row>
    <row r="37" spans="1:4" ht="12.75" customHeight="1" x14ac:dyDescent="0.25">
      <c r="A37" s="85">
        <v>1981</v>
      </c>
      <c r="B37" s="36">
        <v>1481.9079999999999</v>
      </c>
      <c r="C37" s="109">
        <v>732.154</v>
      </c>
      <c r="D37" s="87">
        <f t="shared" si="1"/>
        <v>2.0240386585335872</v>
      </c>
    </row>
    <row r="38" spans="1:4" ht="12.75" customHeight="1" x14ac:dyDescent="0.25">
      <c r="A38" s="85">
        <v>1982</v>
      </c>
      <c r="B38" s="36">
        <v>1532.992</v>
      </c>
      <c r="C38" s="109">
        <v>717.43</v>
      </c>
      <c r="D38" s="87">
        <f t="shared" si="1"/>
        <v>2.1367826826310581</v>
      </c>
    </row>
    <row r="39" spans="1:4" ht="12.75" customHeight="1" x14ac:dyDescent="0.25">
      <c r="A39" s="85">
        <v>1983</v>
      </c>
      <c r="B39" s="36">
        <v>1469.4390000000001</v>
      </c>
      <c r="C39" s="109">
        <v>708.43700000000001</v>
      </c>
      <c r="D39" s="87">
        <f t="shared" si="1"/>
        <v>2.0741985525883035</v>
      </c>
    </row>
    <row r="40" spans="1:4" ht="12.75" customHeight="1" x14ac:dyDescent="0.25">
      <c r="A40" s="85">
        <v>1984</v>
      </c>
      <c r="B40" s="36">
        <v>1631.7529999999999</v>
      </c>
      <c r="C40" s="109">
        <v>711.04700000000003</v>
      </c>
      <c r="D40" s="87">
        <f t="shared" si="1"/>
        <v>2.2948595521815012</v>
      </c>
    </row>
    <row r="41" spans="1:4" ht="12.75" customHeight="1" x14ac:dyDescent="0.25">
      <c r="A41" s="85">
        <v>1985</v>
      </c>
      <c r="B41" s="36">
        <v>1646.5070000000001</v>
      </c>
      <c r="C41" s="109">
        <v>715.63499999999999</v>
      </c>
      <c r="D41" s="87">
        <f t="shared" si="1"/>
        <v>2.3007636574510753</v>
      </c>
    </row>
    <row r="42" spans="1:4" ht="12.75" customHeight="1" x14ac:dyDescent="0.25">
      <c r="A42" s="85">
        <v>1986</v>
      </c>
      <c r="B42" s="36">
        <v>1664.0239999999999</v>
      </c>
      <c r="C42" s="109">
        <v>710.41800000000001</v>
      </c>
      <c r="D42" s="87">
        <f t="shared" si="1"/>
        <v>2.3423167768834685</v>
      </c>
    </row>
    <row r="43" spans="1:4" ht="12.75" customHeight="1" x14ac:dyDescent="0.25">
      <c r="A43" s="85">
        <v>1987</v>
      </c>
      <c r="B43" s="36">
        <v>1600.953</v>
      </c>
      <c r="C43" s="109">
        <v>686.22799999999995</v>
      </c>
      <c r="D43" s="87">
        <f t="shared" si="1"/>
        <v>2.3329753376428828</v>
      </c>
    </row>
    <row r="44" spans="1:4" ht="12.75" customHeight="1" x14ac:dyDescent="0.25">
      <c r="A44" s="85">
        <v>1988</v>
      </c>
      <c r="B44" s="36">
        <v>1550.2339999999999</v>
      </c>
      <c r="C44" s="109">
        <v>689.02700000000004</v>
      </c>
      <c r="D44" s="87">
        <f t="shared" si="1"/>
        <v>2.2498886110413667</v>
      </c>
    </row>
    <row r="45" spans="1:4" ht="12.75" customHeight="1" x14ac:dyDescent="0.25">
      <c r="A45" s="85">
        <v>1989</v>
      </c>
      <c r="B45" s="36">
        <v>1672.66</v>
      </c>
      <c r="C45" s="109">
        <v>696.66499999999996</v>
      </c>
      <c r="D45" s="87">
        <f t="shared" si="1"/>
        <v>2.4009531123280201</v>
      </c>
    </row>
    <row r="46" spans="1:4" ht="12.75" customHeight="1" x14ac:dyDescent="0.25">
      <c r="A46" s="85">
        <v>1990</v>
      </c>
      <c r="B46" s="36">
        <v>1769.019</v>
      </c>
      <c r="C46" s="109">
        <v>693.31799999999998</v>
      </c>
      <c r="D46" s="87">
        <f t="shared" si="1"/>
        <v>2.5515261395203934</v>
      </c>
    </row>
    <row r="47" spans="1:4" ht="12.75" customHeight="1" x14ac:dyDescent="0.25">
      <c r="A47" s="85">
        <v>1991</v>
      </c>
      <c r="B47" s="36">
        <v>1708.9780000000001</v>
      </c>
      <c r="C47" s="109">
        <v>691.553</v>
      </c>
      <c r="D47" s="87">
        <f t="shared" si="1"/>
        <v>2.4712176796283147</v>
      </c>
    </row>
    <row r="48" spans="1:4" ht="12.75" customHeight="1" x14ac:dyDescent="0.25">
      <c r="A48" s="85">
        <v>1992</v>
      </c>
      <c r="B48" s="36">
        <v>1785.5730000000001</v>
      </c>
      <c r="C48" s="109">
        <v>692.97500000000002</v>
      </c>
      <c r="D48" s="87">
        <f t="shared" si="1"/>
        <v>2.5766773693134675</v>
      </c>
    </row>
    <row r="49" spans="1:4" ht="12.75" customHeight="1" x14ac:dyDescent="0.25">
      <c r="A49" s="85">
        <v>1993</v>
      </c>
      <c r="B49" s="36">
        <v>1710.7819999999999</v>
      </c>
      <c r="C49" s="109">
        <v>681.97500000000002</v>
      </c>
      <c r="D49" s="87">
        <f t="shared" si="1"/>
        <v>2.5085699622420177</v>
      </c>
    </row>
    <row r="50" spans="1:4" ht="12.75" customHeight="1" x14ac:dyDescent="0.25">
      <c r="A50" s="85">
        <v>1994</v>
      </c>
      <c r="B50" s="36">
        <v>1756.6220000000001</v>
      </c>
      <c r="C50" s="109">
        <v>681.98900000000003</v>
      </c>
      <c r="D50" s="87">
        <f t="shared" si="1"/>
        <v>2.5757336262021822</v>
      </c>
    </row>
    <row r="51" spans="1:4" ht="12.75" customHeight="1" x14ac:dyDescent="0.25">
      <c r="A51" s="85">
        <v>1995</v>
      </c>
      <c r="B51" s="36">
        <v>1707.249</v>
      </c>
      <c r="C51" s="109">
        <v>676.05100000000004</v>
      </c>
      <c r="D51" s="87">
        <f t="shared" si="1"/>
        <v>2.5253257520512506</v>
      </c>
    </row>
    <row r="52" spans="1:4" ht="12.75" customHeight="1" x14ac:dyDescent="0.25">
      <c r="A52" s="85">
        <v>1996</v>
      </c>
      <c r="B52" s="36">
        <v>1871.9259999999999</v>
      </c>
      <c r="C52" s="109">
        <v>696.71900000000005</v>
      </c>
      <c r="D52" s="87">
        <f t="shared" si="1"/>
        <v>2.6867732902360921</v>
      </c>
    </row>
    <row r="53" spans="1:4" ht="12.75" customHeight="1" x14ac:dyDescent="0.25">
      <c r="A53" s="85">
        <v>1997</v>
      </c>
      <c r="B53" s="36">
        <v>1879.0260000000001</v>
      </c>
      <c r="C53" s="109">
        <v>687.57299999999998</v>
      </c>
      <c r="D53" s="87">
        <f t="shared" si="1"/>
        <v>2.7328385495067433</v>
      </c>
    </row>
    <row r="54" spans="1:4" ht="12.75" customHeight="1" x14ac:dyDescent="0.25">
      <c r="A54" s="85">
        <v>1998</v>
      </c>
      <c r="B54" s="36">
        <v>1876.807</v>
      </c>
      <c r="C54" s="109">
        <v>674.15200000000004</v>
      </c>
      <c r="D54" s="87">
        <f t="shared" si="1"/>
        <v>2.7839522837579653</v>
      </c>
    </row>
    <row r="55" spans="1:4" ht="12.75" customHeight="1" x14ac:dyDescent="0.25">
      <c r="A55" s="85">
        <v>1999</v>
      </c>
      <c r="B55" s="36">
        <v>1874.086</v>
      </c>
      <c r="C55" s="109">
        <v>662.90099999999995</v>
      </c>
      <c r="D55" s="87">
        <f t="shared" si="1"/>
        <v>2.8270978622750609</v>
      </c>
    </row>
    <row r="56" spans="1:4" ht="12.75" customHeight="1" x14ac:dyDescent="0.25">
      <c r="A56" s="85">
        <v>2000</v>
      </c>
      <c r="B56" s="36">
        <v>1846.008</v>
      </c>
      <c r="C56" s="109">
        <v>662.85900000000004</v>
      </c>
      <c r="D56" s="87">
        <f t="shared" si="1"/>
        <v>2.7849180594968161</v>
      </c>
    </row>
    <row r="57" spans="1:4" ht="12.75" customHeight="1" x14ac:dyDescent="0.25">
      <c r="A57" s="85">
        <v>2001</v>
      </c>
      <c r="B57" s="36">
        <v>1879.64</v>
      </c>
      <c r="C57" s="109">
        <v>665.18</v>
      </c>
      <c r="D57" s="87">
        <f t="shared" si="1"/>
        <v>2.8257614480291053</v>
      </c>
    </row>
    <row r="58" spans="1:4" ht="12.75" customHeight="1" x14ac:dyDescent="0.25">
      <c r="A58" s="85">
        <v>2002</v>
      </c>
      <c r="B58" s="36">
        <v>1821.443</v>
      </c>
      <c r="C58" s="109">
        <v>650.49900000000002</v>
      </c>
      <c r="D58" s="87">
        <f t="shared" si="1"/>
        <v>2.800070407487175</v>
      </c>
    </row>
    <row r="59" spans="1:4" ht="12.75" customHeight="1" x14ac:dyDescent="0.25">
      <c r="A59" s="85">
        <v>2003</v>
      </c>
      <c r="B59" s="36">
        <v>1863.55</v>
      </c>
      <c r="C59" s="109">
        <v>661.22400000000005</v>
      </c>
      <c r="D59" s="87">
        <f t="shared" si="1"/>
        <v>2.8183338777781808</v>
      </c>
    </row>
    <row r="60" spans="1:4" ht="12.75" customHeight="1" x14ac:dyDescent="0.25">
      <c r="A60" s="85">
        <v>2004</v>
      </c>
      <c r="B60" s="36">
        <v>2043.1690000000001</v>
      </c>
      <c r="C60" s="109">
        <v>667.50300000000004</v>
      </c>
      <c r="D60" s="87">
        <f t="shared" si="1"/>
        <v>3.0609135839089863</v>
      </c>
    </row>
    <row r="61" spans="1:4" ht="12.75" customHeight="1" x14ac:dyDescent="0.25">
      <c r="A61" s="85">
        <v>2005</v>
      </c>
      <c r="B61" s="36">
        <v>2016.481</v>
      </c>
      <c r="C61" s="109">
        <v>672.78099999999995</v>
      </c>
      <c r="D61" s="87">
        <f t="shared" si="1"/>
        <v>2.9972323831975043</v>
      </c>
    </row>
    <row r="62" spans="1:4" ht="12.75" customHeight="1" x14ac:dyDescent="0.25">
      <c r="A62" s="85">
        <v>2006</v>
      </c>
      <c r="B62" s="36">
        <v>2004.74</v>
      </c>
      <c r="C62" s="109">
        <v>670.80799999999999</v>
      </c>
      <c r="D62" s="87">
        <f t="shared" si="1"/>
        <v>2.9885451574817234</v>
      </c>
    </row>
    <row r="63" spans="1:4" ht="12.75" customHeight="1" x14ac:dyDescent="0.25">
      <c r="A63" s="85">
        <v>2007</v>
      </c>
      <c r="B63" s="36">
        <v>2125.5680000000002</v>
      </c>
      <c r="C63" s="109">
        <v>688.28899999999999</v>
      </c>
      <c r="D63" s="87">
        <f t="shared" si="1"/>
        <v>3.0881911522630761</v>
      </c>
    </row>
    <row r="64" spans="1:4" ht="12.75" customHeight="1" x14ac:dyDescent="0.25">
      <c r="A64" s="85">
        <v>2008</v>
      </c>
      <c r="B64" s="36">
        <v>2244.1999999999998</v>
      </c>
      <c r="C64" s="109">
        <v>695.06100000000004</v>
      </c>
      <c r="D64" s="87">
        <f t="shared" si="1"/>
        <v>3.2287813587584395</v>
      </c>
    </row>
    <row r="65" spans="1:5" ht="12.75" customHeight="1" x14ac:dyDescent="0.25">
      <c r="A65" s="85">
        <v>2009</v>
      </c>
      <c r="B65" s="36">
        <v>2238.3649999999998</v>
      </c>
      <c r="C65" s="109">
        <v>687.84500000000003</v>
      </c>
      <c r="D65" s="87">
        <f t="shared" si="1"/>
        <v>3.2541706343725689</v>
      </c>
    </row>
    <row r="66" spans="1:5" ht="12.75" customHeight="1" x14ac:dyDescent="0.25">
      <c r="A66" s="85">
        <v>2010</v>
      </c>
      <c r="B66" s="36">
        <v>2197.1179999999999</v>
      </c>
      <c r="C66" s="109">
        <v>679.226</v>
      </c>
      <c r="D66" s="87">
        <f t="shared" si="1"/>
        <v>3.2347377750557249</v>
      </c>
    </row>
    <row r="67" spans="1:5" ht="12.75" customHeight="1" x14ac:dyDescent="0.25">
      <c r="A67" s="84">
        <v>2011</v>
      </c>
      <c r="B67" s="108">
        <v>2304.306</v>
      </c>
      <c r="C67" s="108">
        <v>691.65599999999995</v>
      </c>
      <c r="D67" s="90">
        <f t="shared" si="1"/>
        <v>3.3315781255421775</v>
      </c>
    </row>
    <row r="68" spans="1:5" ht="12.75" customHeight="1" x14ac:dyDescent="0.25">
      <c r="A68" s="85"/>
    </row>
    <row r="69" spans="1:5" ht="12.75" customHeight="1" x14ac:dyDescent="0.25">
      <c r="A69" s="260" t="s">
        <v>180</v>
      </c>
      <c r="B69" s="261"/>
      <c r="C69" s="261"/>
      <c r="D69" s="261"/>
    </row>
    <row r="70" spans="1:5" ht="12.75" customHeight="1" x14ac:dyDescent="0.25">
      <c r="A70" s="261"/>
      <c r="B70" s="261"/>
      <c r="C70" s="261"/>
      <c r="D70" s="261"/>
    </row>
    <row r="71" spans="1:5" ht="12.75" customHeight="1" x14ac:dyDescent="0.25">
      <c r="A71" s="261"/>
      <c r="B71" s="261"/>
      <c r="C71" s="261"/>
      <c r="D71" s="261"/>
    </row>
    <row r="72" spans="1:5" ht="12.75" customHeight="1" x14ac:dyDescent="0.25">
      <c r="A72" s="261"/>
      <c r="B72" s="261"/>
      <c r="C72" s="261"/>
      <c r="D72" s="261"/>
    </row>
    <row r="73" spans="1:5" ht="12.75" customHeight="1" x14ac:dyDescent="0.25">
      <c r="A73" s="261"/>
      <c r="B73" s="261"/>
      <c r="C73" s="261"/>
      <c r="D73" s="261"/>
    </row>
    <row r="75" spans="1:5" x14ac:dyDescent="0.25">
      <c r="A75" s="259" t="s">
        <v>164</v>
      </c>
      <c r="B75" s="259"/>
      <c r="C75" s="259"/>
      <c r="D75" s="259"/>
      <c r="E75" s="259"/>
    </row>
    <row r="76" spans="1:5" x14ac:dyDescent="0.25">
      <c r="A76" s="259"/>
      <c r="B76" s="259"/>
      <c r="C76" s="259"/>
      <c r="D76" s="259"/>
      <c r="E76" s="259"/>
    </row>
    <row r="77" spans="1:5" x14ac:dyDescent="0.25">
      <c r="A77" s="259"/>
      <c r="B77" s="259"/>
      <c r="C77" s="259"/>
      <c r="D77" s="259"/>
      <c r="E77" s="259"/>
    </row>
    <row r="78" spans="1:5" x14ac:dyDescent="0.25">
      <c r="A78" s="259"/>
      <c r="B78" s="259"/>
      <c r="C78" s="259"/>
      <c r="D78" s="259"/>
      <c r="E78" s="259"/>
    </row>
  </sheetData>
  <mergeCells count="2">
    <mergeCell ref="A69:D73"/>
    <mergeCell ref="A75:E78"/>
  </mergeCells>
  <phoneticPr fontId="68" type="noConversion"/>
  <pageMargins left="0.7" right="0.7" top="0.75" bottom="0.75" header="0.3" footer="0.3"/>
  <pageSetup scale="69"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79"/>
  <sheetViews>
    <sheetView topLeftCell="A34" zoomScaleNormal="100" zoomScaleSheetLayoutView="100" workbookViewId="0"/>
  </sheetViews>
  <sheetFormatPr defaultColWidth="8.85546875" defaultRowHeight="12.75" customHeight="1" x14ac:dyDescent="0.25"/>
  <cols>
    <col min="1" max="1" width="8.85546875" style="53"/>
    <col min="2" max="4" width="20" style="53" customWidth="1"/>
    <col min="5" max="5" width="8.85546875" style="1"/>
  </cols>
  <sheetData>
    <row r="1" spans="1:4" ht="12.75" customHeight="1" x14ac:dyDescent="0.25">
      <c r="A1" s="21" t="s">
        <v>63</v>
      </c>
    </row>
    <row r="3" spans="1:4" ht="12.75" customHeight="1" x14ac:dyDescent="0.25">
      <c r="A3" s="50" t="s">
        <v>51</v>
      </c>
      <c r="B3" s="51" t="s">
        <v>59</v>
      </c>
      <c r="C3" s="51" t="s">
        <v>64</v>
      </c>
      <c r="D3" s="111" t="s">
        <v>65</v>
      </c>
    </row>
    <row r="4" spans="1:4" ht="12.75" customHeight="1" x14ac:dyDescent="0.25">
      <c r="A4" s="52"/>
      <c r="B4" s="112" t="s">
        <v>54</v>
      </c>
      <c r="C4" s="48" t="s">
        <v>66</v>
      </c>
      <c r="D4" s="48" t="s">
        <v>67</v>
      </c>
    </row>
    <row r="6" spans="1:4" ht="12.75" customHeight="1" x14ac:dyDescent="0.25">
      <c r="A6" s="85">
        <v>1950</v>
      </c>
      <c r="B6" s="113">
        <v>631</v>
      </c>
      <c r="C6" s="35">
        <v>2532.2289999999998</v>
      </c>
      <c r="D6" s="114">
        <f>((B6/C6))*1000</f>
        <v>249.1875734777542</v>
      </c>
    </row>
    <row r="7" spans="1:4" ht="12.75" customHeight="1" x14ac:dyDescent="0.25">
      <c r="A7" s="85">
        <v>1951</v>
      </c>
      <c r="B7" s="113">
        <v>655</v>
      </c>
      <c r="C7" s="35">
        <v>2580.96</v>
      </c>
      <c r="D7" s="114">
        <f t="shared" ref="D7:D67" si="0">((B7/C7))*1000</f>
        <v>253.78153865228441</v>
      </c>
    </row>
    <row r="8" spans="1:4" ht="12.75" customHeight="1" x14ac:dyDescent="0.25">
      <c r="A8" s="85">
        <v>1952</v>
      </c>
      <c r="B8" s="113">
        <v>680</v>
      </c>
      <c r="C8" s="35">
        <v>2628.4479999999999</v>
      </c>
      <c r="D8" s="114">
        <f t="shared" si="0"/>
        <v>258.7078001923569</v>
      </c>
    </row>
    <row r="9" spans="1:4" ht="12.75" customHeight="1" x14ac:dyDescent="0.25">
      <c r="A9" s="85">
        <v>1953</v>
      </c>
      <c r="B9" s="113">
        <v>705</v>
      </c>
      <c r="C9" s="35">
        <v>2675.7660000000001</v>
      </c>
      <c r="D9" s="114">
        <f t="shared" si="0"/>
        <v>263.47595417536513</v>
      </c>
    </row>
    <row r="10" spans="1:4" ht="12.75" customHeight="1" x14ac:dyDescent="0.25">
      <c r="A10" s="85">
        <v>1954</v>
      </c>
      <c r="B10" s="113">
        <v>730</v>
      </c>
      <c r="C10" s="35">
        <v>2723.7260000000001</v>
      </c>
      <c r="D10" s="114">
        <f t="shared" si="0"/>
        <v>268.01521151540203</v>
      </c>
    </row>
    <row r="11" spans="1:4" ht="12.75" customHeight="1" x14ac:dyDescent="0.25">
      <c r="A11" s="85">
        <v>1955</v>
      </c>
      <c r="B11" s="113">
        <v>759</v>
      </c>
      <c r="C11" s="35">
        <v>2772.8820000000001</v>
      </c>
      <c r="D11" s="114">
        <f t="shared" si="0"/>
        <v>273.72243030897096</v>
      </c>
    </row>
    <row r="12" spans="1:4" ht="12.75" customHeight="1" x14ac:dyDescent="0.25">
      <c r="A12" s="85">
        <v>1956</v>
      </c>
      <c r="B12" s="113">
        <v>773</v>
      </c>
      <c r="C12" s="35">
        <v>2823.5129999999999</v>
      </c>
      <c r="D12" s="114">
        <f t="shared" si="0"/>
        <v>273.77242463555149</v>
      </c>
    </row>
    <row r="13" spans="1:4" ht="12.75" customHeight="1" x14ac:dyDescent="0.25">
      <c r="A13" s="85">
        <v>1957</v>
      </c>
      <c r="B13" s="113">
        <v>788</v>
      </c>
      <c r="C13" s="35">
        <v>2875.6419999999998</v>
      </c>
      <c r="D13" s="114">
        <f t="shared" si="0"/>
        <v>274.02576537691408</v>
      </c>
    </row>
    <row r="14" spans="1:4" ht="12.75" customHeight="1" x14ac:dyDescent="0.25">
      <c r="A14" s="85">
        <v>1958</v>
      </c>
      <c r="B14" s="113">
        <v>802</v>
      </c>
      <c r="C14" s="35">
        <v>2929.069</v>
      </c>
      <c r="D14" s="114">
        <f t="shared" si="0"/>
        <v>273.80713803601077</v>
      </c>
    </row>
    <row r="15" spans="1:4" ht="12.75" customHeight="1" x14ac:dyDescent="0.25">
      <c r="A15" s="85">
        <v>1959</v>
      </c>
      <c r="B15" s="113">
        <v>815</v>
      </c>
      <c r="C15" s="35">
        <v>2983.4349999999999</v>
      </c>
      <c r="D15" s="114">
        <f t="shared" si="0"/>
        <v>273.17504822461359</v>
      </c>
    </row>
    <row r="16" spans="1:4" ht="12.75" customHeight="1" x14ac:dyDescent="0.25">
      <c r="A16" s="85">
        <v>1960</v>
      </c>
      <c r="B16" s="36">
        <v>823.55100000000004</v>
      </c>
      <c r="C16" s="35">
        <v>3038.413</v>
      </c>
      <c r="D16" s="114">
        <f t="shared" si="0"/>
        <v>271.04643114678618</v>
      </c>
    </row>
    <row r="17" spans="1:4" ht="12.75" customHeight="1" x14ac:dyDescent="0.25">
      <c r="A17" s="85">
        <v>1961</v>
      </c>
      <c r="B17" s="36">
        <v>799.50800000000004</v>
      </c>
      <c r="C17" s="35">
        <v>3093.9090000000001</v>
      </c>
      <c r="D17" s="114">
        <f t="shared" si="0"/>
        <v>258.413547392635</v>
      </c>
    </row>
    <row r="18" spans="1:4" ht="12.75" customHeight="1" x14ac:dyDescent="0.25">
      <c r="A18" s="85">
        <v>1962</v>
      </c>
      <c r="B18" s="36">
        <v>850.44500000000005</v>
      </c>
      <c r="C18" s="35">
        <v>3150.2420000000002</v>
      </c>
      <c r="D18" s="114">
        <f t="shared" si="0"/>
        <v>269.96179976014537</v>
      </c>
    </row>
    <row r="19" spans="1:4" ht="12.75" customHeight="1" x14ac:dyDescent="0.25">
      <c r="A19" s="85">
        <v>1963</v>
      </c>
      <c r="B19" s="36">
        <v>857.73800000000006</v>
      </c>
      <c r="C19" s="35">
        <v>3208.212</v>
      </c>
      <c r="D19" s="114">
        <f t="shared" si="0"/>
        <v>267.35702004730359</v>
      </c>
    </row>
    <row r="20" spans="1:4" ht="12.75" customHeight="1" x14ac:dyDescent="0.25">
      <c r="A20" s="85">
        <v>1964</v>
      </c>
      <c r="B20" s="36">
        <v>906.18399999999997</v>
      </c>
      <c r="C20" s="35">
        <v>3268.8960000000002</v>
      </c>
      <c r="D20" s="114">
        <f t="shared" si="0"/>
        <v>277.21408083952497</v>
      </c>
    </row>
    <row r="21" spans="1:4" ht="12.75" customHeight="1" x14ac:dyDescent="0.25">
      <c r="A21" s="85">
        <v>1965</v>
      </c>
      <c r="B21" s="36">
        <v>904.60699999999997</v>
      </c>
      <c r="C21" s="35">
        <v>3333.0070000000001</v>
      </c>
      <c r="D21" s="114">
        <f t="shared" si="0"/>
        <v>271.40867090888202</v>
      </c>
    </row>
    <row r="22" spans="1:4" ht="12.75" customHeight="1" x14ac:dyDescent="0.25">
      <c r="A22" s="85">
        <v>1966</v>
      </c>
      <c r="B22" s="36">
        <v>988.46400000000006</v>
      </c>
      <c r="C22" s="35">
        <v>3400.8229999999999</v>
      </c>
      <c r="D22" s="114">
        <f t="shared" si="0"/>
        <v>290.65435043223363</v>
      </c>
    </row>
    <row r="23" spans="1:4" ht="12.75" customHeight="1" x14ac:dyDescent="0.25">
      <c r="A23" s="85">
        <v>1967</v>
      </c>
      <c r="B23" s="36">
        <v>1014.222</v>
      </c>
      <c r="C23" s="35">
        <v>3471.9549999999999</v>
      </c>
      <c r="D23" s="114">
        <f t="shared" si="0"/>
        <v>292.11841743340568</v>
      </c>
    </row>
    <row r="24" spans="1:4" ht="12.75" customHeight="1" x14ac:dyDescent="0.25">
      <c r="A24" s="85">
        <v>1968</v>
      </c>
      <c r="B24" s="36">
        <v>1052.4590000000001</v>
      </c>
      <c r="C24" s="35">
        <v>3545.6129999999998</v>
      </c>
      <c r="D24" s="114">
        <f t="shared" si="0"/>
        <v>296.83414405351067</v>
      </c>
    </row>
    <row r="25" spans="1:4" ht="12.75" customHeight="1" x14ac:dyDescent="0.25">
      <c r="A25" s="85">
        <v>1969</v>
      </c>
      <c r="B25" s="36">
        <v>1063.107</v>
      </c>
      <c r="C25" s="35">
        <v>3620.652</v>
      </c>
      <c r="D25" s="114">
        <f t="shared" si="0"/>
        <v>293.62308225148399</v>
      </c>
    </row>
    <row r="26" spans="1:4" ht="12.75" customHeight="1" x14ac:dyDescent="0.25">
      <c r="A26" s="85">
        <v>1970</v>
      </c>
      <c r="B26" s="36">
        <v>1078.7059999999999</v>
      </c>
      <c r="C26" s="35">
        <v>3696.1860000000001</v>
      </c>
      <c r="D26" s="114">
        <f t="shared" si="0"/>
        <v>291.84299707861015</v>
      </c>
    </row>
    <row r="27" spans="1:4" ht="12.75" customHeight="1" x14ac:dyDescent="0.25">
      <c r="A27" s="85">
        <v>1971</v>
      </c>
      <c r="B27" s="36">
        <v>1177.258</v>
      </c>
      <c r="C27" s="35">
        <v>3772.0479999999998</v>
      </c>
      <c r="D27" s="114">
        <f t="shared" si="0"/>
        <v>312.10048228442486</v>
      </c>
    </row>
    <row r="28" spans="1:4" ht="12.75" customHeight="1" x14ac:dyDescent="0.25">
      <c r="A28" s="85">
        <v>1972</v>
      </c>
      <c r="B28" s="36">
        <v>1140.6099999999999</v>
      </c>
      <c r="C28" s="35">
        <v>3848.319</v>
      </c>
      <c r="D28" s="114">
        <f t="shared" si="0"/>
        <v>296.39174922868915</v>
      </c>
    </row>
    <row r="29" spans="1:4" ht="12.75" customHeight="1" x14ac:dyDescent="0.25">
      <c r="A29" s="85">
        <v>1973</v>
      </c>
      <c r="B29" s="36">
        <v>1252.9549999999999</v>
      </c>
      <c r="C29" s="35">
        <v>3924.6680000000001</v>
      </c>
      <c r="D29" s="114">
        <f t="shared" si="0"/>
        <v>319.251208000269</v>
      </c>
    </row>
    <row r="30" spans="1:4" ht="12.75" customHeight="1" x14ac:dyDescent="0.25">
      <c r="A30" s="85">
        <v>1974</v>
      </c>
      <c r="B30" s="36">
        <v>1203.498</v>
      </c>
      <c r="C30" s="35">
        <v>4000.7640000000001</v>
      </c>
      <c r="D30" s="114">
        <f t="shared" si="0"/>
        <v>300.81704394460655</v>
      </c>
    </row>
    <row r="31" spans="1:4" ht="12.75" customHeight="1" x14ac:dyDescent="0.25">
      <c r="A31" s="85">
        <v>1975</v>
      </c>
      <c r="B31" s="36">
        <v>1236.5350000000001</v>
      </c>
      <c r="C31" s="35">
        <v>4076.4189999999999</v>
      </c>
      <c r="D31" s="114">
        <f t="shared" si="0"/>
        <v>303.33854297117153</v>
      </c>
    </row>
    <row r="32" spans="1:4" ht="12.75" customHeight="1" x14ac:dyDescent="0.25">
      <c r="A32" s="85">
        <v>1976</v>
      </c>
      <c r="B32" s="36">
        <v>1341.7529999999999</v>
      </c>
      <c r="C32" s="35">
        <v>4151.41</v>
      </c>
      <c r="D32" s="114">
        <f t="shared" si="0"/>
        <v>323.20416436825076</v>
      </c>
    </row>
    <row r="33" spans="1:4" ht="12.75" customHeight="1" x14ac:dyDescent="0.25">
      <c r="A33" s="85">
        <v>1977</v>
      </c>
      <c r="B33" s="36">
        <v>1318.999</v>
      </c>
      <c r="C33" s="35">
        <v>4225.8639999999996</v>
      </c>
      <c r="D33" s="114">
        <f t="shared" si="0"/>
        <v>312.12528372896054</v>
      </c>
    </row>
    <row r="34" spans="1:4" ht="12.75" customHeight="1" x14ac:dyDescent="0.25">
      <c r="A34" s="85">
        <v>1978</v>
      </c>
      <c r="B34" s="36">
        <v>1445.1420000000001</v>
      </c>
      <c r="C34" s="35">
        <v>4300.402</v>
      </c>
      <c r="D34" s="114">
        <f t="shared" si="0"/>
        <v>336.04811829219688</v>
      </c>
    </row>
    <row r="35" spans="1:4" ht="12.75" customHeight="1" x14ac:dyDescent="0.25">
      <c r="A35" s="85">
        <v>1979</v>
      </c>
      <c r="B35" s="36">
        <v>1409.2349999999999</v>
      </c>
      <c r="C35" s="35">
        <v>4375.8990000000003</v>
      </c>
      <c r="D35" s="114">
        <f t="shared" si="0"/>
        <v>322.04468156143452</v>
      </c>
    </row>
    <row r="36" spans="1:4" ht="12.75" customHeight="1" x14ac:dyDescent="0.25">
      <c r="A36" s="85">
        <v>1980</v>
      </c>
      <c r="B36" s="36">
        <v>1429.2380000000001</v>
      </c>
      <c r="C36" s="35">
        <v>4453.0069999999996</v>
      </c>
      <c r="D36" s="114">
        <f t="shared" si="0"/>
        <v>320.96019611017908</v>
      </c>
    </row>
    <row r="37" spans="1:4" ht="12.75" customHeight="1" x14ac:dyDescent="0.25">
      <c r="A37" s="85">
        <v>1981</v>
      </c>
      <c r="B37" s="36">
        <v>1481.9079999999999</v>
      </c>
      <c r="C37" s="35">
        <v>4531.799</v>
      </c>
      <c r="D37" s="114">
        <f t="shared" si="0"/>
        <v>327.0021463882224</v>
      </c>
    </row>
    <row r="38" spans="1:4" ht="12.75" customHeight="1" x14ac:dyDescent="0.25">
      <c r="A38" s="85">
        <v>1982</v>
      </c>
      <c r="B38" s="36">
        <v>1532.992</v>
      </c>
      <c r="C38" s="35">
        <v>4612.12</v>
      </c>
      <c r="D38" s="114">
        <f t="shared" si="0"/>
        <v>332.38337250548557</v>
      </c>
    </row>
    <row r="39" spans="1:4" ht="12.75" customHeight="1" x14ac:dyDescent="0.25">
      <c r="A39" s="85">
        <v>1983</v>
      </c>
      <c r="B39" s="36">
        <v>1469.4390000000001</v>
      </c>
      <c r="C39" s="35">
        <v>4694.0969999999998</v>
      </c>
      <c r="D39" s="114">
        <f t="shared" si="0"/>
        <v>313.03976036285576</v>
      </c>
    </row>
    <row r="40" spans="1:4" ht="12.75" customHeight="1" x14ac:dyDescent="0.25">
      <c r="A40" s="85">
        <v>1984</v>
      </c>
      <c r="B40" s="36">
        <v>1631.7529999999999</v>
      </c>
      <c r="C40" s="35">
        <v>4777.8280000000004</v>
      </c>
      <c r="D40" s="114">
        <f t="shared" si="0"/>
        <v>341.52610767905412</v>
      </c>
    </row>
    <row r="41" spans="1:4" ht="12.75" customHeight="1" x14ac:dyDescent="0.25">
      <c r="A41" s="85">
        <v>1985</v>
      </c>
      <c r="B41" s="36">
        <v>1646.5070000000001</v>
      </c>
      <c r="C41" s="35">
        <v>4863.29</v>
      </c>
      <c r="D41" s="114">
        <f t="shared" si="0"/>
        <v>338.5582599433717</v>
      </c>
    </row>
    <row r="42" spans="1:4" ht="12.75" customHeight="1" x14ac:dyDescent="0.25">
      <c r="A42" s="85">
        <v>1986</v>
      </c>
      <c r="B42" s="36">
        <v>1664.0239999999999</v>
      </c>
      <c r="C42" s="35">
        <v>4950.5910000000003</v>
      </c>
      <c r="D42" s="114">
        <f t="shared" si="0"/>
        <v>336.12633319940988</v>
      </c>
    </row>
    <row r="43" spans="1:4" ht="12.75" customHeight="1" x14ac:dyDescent="0.25">
      <c r="A43" s="85">
        <v>1987</v>
      </c>
      <c r="B43" s="36">
        <v>1600.953</v>
      </c>
      <c r="C43" s="35">
        <v>5039.4780000000001</v>
      </c>
      <c r="D43" s="114">
        <f t="shared" si="0"/>
        <v>317.68230757233192</v>
      </c>
    </row>
    <row r="44" spans="1:4" ht="12.75" customHeight="1" x14ac:dyDescent="0.25">
      <c r="A44" s="85">
        <v>1988</v>
      </c>
      <c r="B44" s="36">
        <v>1550.2339999999999</v>
      </c>
      <c r="C44" s="35">
        <v>5129.1130000000003</v>
      </c>
      <c r="D44" s="114">
        <f t="shared" si="0"/>
        <v>302.24212256583155</v>
      </c>
    </row>
    <row r="45" spans="1:4" ht="12.75" customHeight="1" x14ac:dyDescent="0.25">
      <c r="A45" s="85">
        <v>1989</v>
      </c>
      <c r="B45" s="36">
        <v>1672.66</v>
      </c>
      <c r="C45" s="35">
        <v>5218.375</v>
      </c>
      <c r="D45" s="114">
        <f t="shared" si="0"/>
        <v>320.53273289098621</v>
      </c>
    </row>
    <row r="46" spans="1:4" ht="12.75" customHeight="1" x14ac:dyDescent="0.25">
      <c r="A46" s="85">
        <v>1990</v>
      </c>
      <c r="B46" s="36">
        <v>1769.019</v>
      </c>
      <c r="C46" s="35">
        <v>5306.4250000000002</v>
      </c>
      <c r="D46" s="114">
        <f t="shared" si="0"/>
        <v>333.37303363375531</v>
      </c>
    </row>
    <row r="47" spans="1:4" ht="12.75" customHeight="1" x14ac:dyDescent="0.25">
      <c r="A47" s="85">
        <v>1991</v>
      </c>
      <c r="B47" s="36">
        <v>1708.9780000000001</v>
      </c>
      <c r="C47" s="35">
        <v>5392.9390000000003</v>
      </c>
      <c r="D47" s="114">
        <f t="shared" si="0"/>
        <v>316.89177274209851</v>
      </c>
    </row>
    <row r="48" spans="1:4" ht="12.75" customHeight="1" x14ac:dyDescent="0.25">
      <c r="A48" s="85">
        <v>1992</v>
      </c>
      <c r="B48" s="36">
        <v>1785.5730000000001</v>
      </c>
      <c r="C48" s="35">
        <v>5478.009</v>
      </c>
      <c r="D48" s="114">
        <f t="shared" si="0"/>
        <v>325.95291464471853</v>
      </c>
    </row>
    <row r="49" spans="1:4" ht="12.75" customHeight="1" x14ac:dyDescent="0.25">
      <c r="A49" s="85">
        <v>1993</v>
      </c>
      <c r="B49" s="36">
        <v>1710.7819999999999</v>
      </c>
      <c r="C49" s="35">
        <v>5561.7439999999997</v>
      </c>
      <c r="D49" s="114">
        <f t="shared" si="0"/>
        <v>307.59812030183338</v>
      </c>
    </row>
    <row r="50" spans="1:4" ht="12.75" customHeight="1" x14ac:dyDescent="0.25">
      <c r="A50" s="85">
        <v>1994</v>
      </c>
      <c r="B50" s="36">
        <v>1756.6220000000001</v>
      </c>
      <c r="C50" s="35">
        <v>5644.4160000000002</v>
      </c>
      <c r="D50" s="114">
        <f t="shared" si="0"/>
        <v>311.21412737827967</v>
      </c>
    </row>
    <row r="51" spans="1:4" ht="12.75" customHeight="1" x14ac:dyDescent="0.25">
      <c r="A51" s="85">
        <v>1995</v>
      </c>
      <c r="B51" s="36">
        <v>1707.249</v>
      </c>
      <c r="C51" s="35">
        <v>5726.2389999999996</v>
      </c>
      <c r="D51" s="114">
        <f t="shared" si="0"/>
        <v>298.14490802776481</v>
      </c>
    </row>
    <row r="52" spans="1:4" ht="12.75" customHeight="1" x14ac:dyDescent="0.25">
      <c r="A52" s="85">
        <v>1996</v>
      </c>
      <c r="B52" s="36">
        <v>1871.9259999999999</v>
      </c>
      <c r="C52" s="35">
        <v>5807.2120000000004</v>
      </c>
      <c r="D52" s="114">
        <f t="shared" si="0"/>
        <v>322.34504268141063</v>
      </c>
    </row>
    <row r="53" spans="1:4" ht="12.75" customHeight="1" x14ac:dyDescent="0.25">
      <c r="A53" s="85">
        <v>1997</v>
      </c>
      <c r="B53" s="36">
        <v>1879.0260000000001</v>
      </c>
      <c r="C53" s="35">
        <v>5887.26</v>
      </c>
      <c r="D53" s="114">
        <f t="shared" si="0"/>
        <v>319.16816991265881</v>
      </c>
    </row>
    <row r="54" spans="1:4" ht="12.75" customHeight="1" x14ac:dyDescent="0.25">
      <c r="A54" s="85">
        <v>1998</v>
      </c>
      <c r="B54" s="36">
        <v>1876.807</v>
      </c>
      <c r="C54" s="35">
        <v>5966.4650000000001</v>
      </c>
      <c r="D54" s="114">
        <f t="shared" si="0"/>
        <v>314.55929097044901</v>
      </c>
    </row>
    <row r="55" spans="1:4" ht="12.75" customHeight="1" x14ac:dyDescent="0.25">
      <c r="A55" s="85">
        <v>1999</v>
      </c>
      <c r="B55" s="36">
        <v>1874.086</v>
      </c>
      <c r="C55" s="35">
        <v>6044.9309999999996</v>
      </c>
      <c r="D55" s="114">
        <f t="shared" si="0"/>
        <v>310.02603669090684</v>
      </c>
    </row>
    <row r="56" spans="1:4" ht="12.75" customHeight="1" x14ac:dyDescent="0.25">
      <c r="A56" s="85">
        <v>2000</v>
      </c>
      <c r="B56" s="36">
        <v>1846.008</v>
      </c>
      <c r="C56" s="35">
        <v>6122.77</v>
      </c>
      <c r="D56" s="114">
        <f t="shared" si="0"/>
        <v>301.49883141127299</v>
      </c>
    </row>
    <row r="57" spans="1:4" ht="12.75" customHeight="1" x14ac:dyDescent="0.25">
      <c r="A57" s="85">
        <v>2001</v>
      </c>
      <c r="B57" s="36">
        <v>1879.64</v>
      </c>
      <c r="C57" s="35">
        <v>6200.0029999999997</v>
      </c>
      <c r="D57" s="114">
        <f t="shared" si="0"/>
        <v>303.16759524148625</v>
      </c>
    </row>
    <row r="58" spans="1:4" ht="12.75" customHeight="1" x14ac:dyDescent="0.25">
      <c r="A58" s="85">
        <v>2002</v>
      </c>
      <c r="B58" s="36">
        <v>1821.443</v>
      </c>
      <c r="C58" s="35">
        <v>6276.7219999999998</v>
      </c>
      <c r="D58" s="114">
        <f t="shared" si="0"/>
        <v>290.19016614086138</v>
      </c>
    </row>
    <row r="59" spans="1:4" ht="12.75" customHeight="1" x14ac:dyDescent="0.25">
      <c r="A59" s="85">
        <v>2003</v>
      </c>
      <c r="B59" s="36">
        <v>1863.55</v>
      </c>
      <c r="C59" s="35">
        <v>6353.1959999999999</v>
      </c>
      <c r="D59" s="114">
        <f t="shared" si="0"/>
        <v>293.32480849008908</v>
      </c>
    </row>
    <row r="60" spans="1:4" ht="12.75" customHeight="1" x14ac:dyDescent="0.25">
      <c r="A60" s="85">
        <v>2004</v>
      </c>
      <c r="B60" s="36">
        <v>2043.1690000000001</v>
      </c>
      <c r="C60" s="35">
        <v>6429.7579999999998</v>
      </c>
      <c r="D60" s="114">
        <f t="shared" si="0"/>
        <v>317.7676360447781</v>
      </c>
    </row>
    <row r="61" spans="1:4" ht="12.75" customHeight="1" x14ac:dyDescent="0.25">
      <c r="A61" s="85">
        <v>2005</v>
      </c>
      <c r="B61" s="36">
        <v>2016.481</v>
      </c>
      <c r="C61" s="35">
        <v>6506.6490000000003</v>
      </c>
      <c r="D61" s="114">
        <f t="shared" si="0"/>
        <v>309.91083121281014</v>
      </c>
    </row>
    <row r="62" spans="1:4" ht="12.75" customHeight="1" x14ac:dyDescent="0.25">
      <c r="A62" s="85">
        <v>2006</v>
      </c>
      <c r="B62" s="36">
        <v>2004.74</v>
      </c>
      <c r="C62" s="35">
        <v>6583.9589999999998</v>
      </c>
      <c r="D62" s="114">
        <f t="shared" si="0"/>
        <v>304.48853038118864</v>
      </c>
    </row>
    <row r="63" spans="1:4" ht="12.75" customHeight="1" x14ac:dyDescent="0.25">
      <c r="A63" s="85">
        <v>2007</v>
      </c>
      <c r="B63" s="36">
        <v>2125.5680000000002</v>
      </c>
      <c r="C63" s="35">
        <v>6661.6369999999997</v>
      </c>
      <c r="D63" s="114">
        <f t="shared" si="0"/>
        <v>319.07592683299919</v>
      </c>
    </row>
    <row r="64" spans="1:4" ht="12.75" customHeight="1" x14ac:dyDescent="0.25">
      <c r="A64" s="85">
        <v>2008</v>
      </c>
      <c r="B64" s="36">
        <v>2244.1999999999998</v>
      </c>
      <c r="C64" s="35">
        <v>6739.61</v>
      </c>
      <c r="D64" s="114">
        <f t="shared" si="0"/>
        <v>332.98662682262034</v>
      </c>
    </row>
    <row r="65" spans="1:7" ht="12.75" customHeight="1" x14ac:dyDescent="0.25">
      <c r="A65" s="85">
        <v>2009</v>
      </c>
      <c r="B65" s="36">
        <v>2238.3649999999998</v>
      </c>
      <c r="C65" s="35">
        <v>6817.7370000000001</v>
      </c>
      <c r="D65" s="114">
        <f t="shared" si="0"/>
        <v>328.31495260084097</v>
      </c>
    </row>
    <row r="66" spans="1:7" ht="12.75" customHeight="1" x14ac:dyDescent="0.25">
      <c r="A66" s="85">
        <v>2010</v>
      </c>
      <c r="B66" s="36">
        <v>2197.1179999999999</v>
      </c>
      <c r="C66" s="35">
        <v>6895.8890000000001</v>
      </c>
      <c r="D66" s="114">
        <f t="shared" si="0"/>
        <v>318.61272709000968</v>
      </c>
    </row>
    <row r="67" spans="1:7" ht="12.75" customHeight="1" x14ac:dyDescent="0.25">
      <c r="A67" s="84">
        <v>2011</v>
      </c>
      <c r="B67" s="108">
        <v>2304.306</v>
      </c>
      <c r="C67" s="96">
        <v>6974.0360000000001</v>
      </c>
      <c r="D67" s="96">
        <f t="shared" si="0"/>
        <v>330.41211717289679</v>
      </c>
    </row>
    <row r="68" spans="1:7" ht="12.75" customHeight="1" x14ac:dyDescent="0.25">
      <c r="C68" s="35"/>
    </row>
    <row r="69" spans="1:7" ht="12.75" customHeight="1" x14ac:dyDescent="0.25">
      <c r="A69" s="262" t="s">
        <v>179</v>
      </c>
      <c r="B69" s="262"/>
      <c r="C69" s="262"/>
      <c r="D69" s="262"/>
      <c r="E69" s="262"/>
      <c r="F69" s="262"/>
      <c r="G69" s="262"/>
    </row>
    <row r="70" spans="1:7" ht="12.75" customHeight="1" x14ac:dyDescent="0.25">
      <c r="A70" s="262"/>
      <c r="B70" s="262"/>
      <c r="C70" s="262"/>
      <c r="D70" s="262"/>
      <c r="E70" s="262"/>
      <c r="F70" s="262"/>
      <c r="G70" s="262"/>
    </row>
    <row r="71" spans="1:7" ht="12.75" customHeight="1" x14ac:dyDescent="0.25">
      <c r="A71" s="262"/>
      <c r="B71" s="262"/>
      <c r="C71" s="262"/>
      <c r="D71" s="262"/>
      <c r="E71" s="262"/>
      <c r="F71" s="262"/>
      <c r="G71" s="262"/>
    </row>
    <row r="72" spans="1:7" ht="12.75" customHeight="1" x14ac:dyDescent="0.25">
      <c r="A72" s="262"/>
      <c r="B72" s="262"/>
      <c r="C72" s="262"/>
      <c r="D72" s="262"/>
      <c r="E72" s="262"/>
      <c r="F72" s="262"/>
      <c r="G72" s="262"/>
    </row>
    <row r="73" spans="1:7" ht="12.75" customHeight="1" x14ac:dyDescent="0.25">
      <c r="A73" s="262"/>
      <c r="B73" s="262"/>
      <c r="C73" s="262"/>
      <c r="D73" s="262"/>
      <c r="E73" s="262"/>
      <c r="F73" s="262"/>
      <c r="G73" s="262"/>
    </row>
    <row r="74" spans="1:7" ht="12.75" customHeight="1" x14ac:dyDescent="0.25">
      <c r="A74" s="185"/>
      <c r="B74" s="185"/>
      <c r="C74" s="185"/>
      <c r="D74" s="185"/>
      <c r="E74" s="185"/>
    </row>
    <row r="75" spans="1:7" ht="12.75" customHeight="1" x14ac:dyDescent="0.25">
      <c r="A75" s="259" t="s">
        <v>164</v>
      </c>
      <c r="B75" s="259"/>
      <c r="C75" s="259"/>
      <c r="D75" s="259"/>
      <c r="E75" s="259"/>
      <c r="F75" s="259"/>
      <c r="G75" s="259"/>
    </row>
    <row r="76" spans="1:7" ht="12.75" customHeight="1" x14ac:dyDescent="0.25">
      <c r="A76" s="259"/>
      <c r="B76" s="259"/>
      <c r="C76" s="259"/>
      <c r="D76" s="259"/>
      <c r="E76" s="259"/>
      <c r="F76" s="259"/>
      <c r="G76" s="259"/>
    </row>
    <row r="77" spans="1:7" ht="12.75" customHeight="1" x14ac:dyDescent="0.25">
      <c r="A77" s="259"/>
      <c r="B77" s="259"/>
      <c r="C77" s="259"/>
      <c r="D77" s="259"/>
      <c r="E77" s="259"/>
      <c r="F77" s="259"/>
      <c r="G77" s="259"/>
    </row>
    <row r="78" spans="1:7" ht="12.75" customHeight="1" x14ac:dyDescent="0.25">
      <c r="A78" s="189"/>
      <c r="B78" s="189"/>
      <c r="C78" s="189"/>
      <c r="D78" s="189"/>
      <c r="E78" s="189"/>
    </row>
    <row r="79" spans="1:7" ht="12.75" customHeight="1" x14ac:dyDescent="0.25">
      <c r="A79" s="189"/>
      <c r="B79" s="189"/>
      <c r="C79" s="189"/>
      <c r="D79" s="189"/>
      <c r="E79" s="189"/>
    </row>
  </sheetData>
  <mergeCells count="2">
    <mergeCell ref="A69:G73"/>
    <mergeCell ref="A75:G77"/>
  </mergeCells>
  <phoneticPr fontId="68" type="noConversion"/>
  <pageMargins left="0.7" right="0.7" top="0.75" bottom="0.75" header="0.3" footer="0.3"/>
  <pageSetup scale="72" orientation="portrait" r:id="rId1"/>
  <rowBreaks count="1" manualBreakCount="1">
    <brk id="77" max="6"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68"/>
  <sheetViews>
    <sheetView zoomScaleNormal="100" workbookViewId="0"/>
  </sheetViews>
  <sheetFormatPr defaultColWidth="8.85546875" defaultRowHeight="15" x14ac:dyDescent="0.25"/>
  <cols>
    <col min="1" max="1" width="8.85546875" style="53"/>
    <col min="2" max="2" width="14.85546875" style="53" customWidth="1"/>
    <col min="3" max="3" width="16.7109375" style="53" customWidth="1"/>
    <col min="4" max="4" width="16.42578125" style="53" customWidth="1"/>
  </cols>
  <sheetData>
    <row r="1" spans="1:4" ht="12.75" customHeight="1" x14ac:dyDescent="0.25">
      <c r="A1" s="21" t="s">
        <v>68</v>
      </c>
    </row>
    <row r="2" spans="1:4" ht="12.75" customHeight="1" x14ac:dyDescent="0.25"/>
    <row r="3" spans="1:4" ht="12.75" customHeight="1" x14ac:dyDescent="0.25">
      <c r="A3" s="38" t="s">
        <v>51</v>
      </c>
      <c r="B3" s="99" t="s">
        <v>59</v>
      </c>
      <c r="C3" s="99" t="s">
        <v>52</v>
      </c>
      <c r="D3" s="99" t="s">
        <v>69</v>
      </c>
    </row>
    <row r="4" spans="1:4" ht="12.75" customHeight="1" x14ac:dyDescent="0.25">
      <c r="A4" s="39"/>
      <c r="B4" s="263" t="s">
        <v>54</v>
      </c>
      <c r="C4" s="263"/>
      <c r="D4" s="263"/>
    </row>
    <row r="5" spans="1:4" ht="12.75" customHeight="1" x14ac:dyDescent="0.25"/>
    <row r="6" spans="1:4" ht="12.75" customHeight="1" x14ac:dyDescent="0.25">
      <c r="A6" s="39">
        <v>1960</v>
      </c>
      <c r="B6" s="36">
        <v>823.55100000000004</v>
      </c>
      <c r="C6" s="35">
        <v>815.24699999999996</v>
      </c>
      <c r="D6" s="107">
        <f>B6-C6</f>
        <v>8.3040000000000873</v>
      </c>
    </row>
    <row r="7" spans="1:4" ht="12.75" customHeight="1" x14ac:dyDescent="0.25">
      <c r="A7" s="39">
        <v>1961</v>
      </c>
      <c r="B7" s="36">
        <v>799.50800000000004</v>
      </c>
      <c r="C7" s="35">
        <v>816.702</v>
      </c>
      <c r="D7" s="107">
        <f t="shared" ref="D7:D57" si="0">B7-C7</f>
        <v>-17.19399999999996</v>
      </c>
    </row>
    <row r="8" spans="1:4" ht="12.75" customHeight="1" x14ac:dyDescent="0.25">
      <c r="A8" s="39">
        <v>1962</v>
      </c>
      <c r="B8" s="36">
        <v>850.44500000000005</v>
      </c>
      <c r="C8" s="35">
        <v>837.71600000000001</v>
      </c>
      <c r="D8" s="107">
        <f t="shared" si="0"/>
        <v>12.729000000000042</v>
      </c>
    </row>
    <row r="9" spans="1:4" ht="12.75" customHeight="1" x14ac:dyDescent="0.25">
      <c r="A9" s="39">
        <v>1963</v>
      </c>
      <c r="B9" s="36">
        <v>857.73800000000006</v>
      </c>
      <c r="C9" s="35">
        <v>852.07299999999998</v>
      </c>
      <c r="D9" s="107">
        <f t="shared" si="0"/>
        <v>5.6650000000000773</v>
      </c>
    </row>
    <row r="10" spans="1:4" ht="12.75" customHeight="1" x14ac:dyDescent="0.25">
      <c r="A10" s="39">
        <v>1964</v>
      </c>
      <c r="B10" s="36">
        <v>906.18399999999997</v>
      </c>
      <c r="C10" s="35">
        <v>895.76400000000001</v>
      </c>
      <c r="D10" s="107">
        <f t="shared" si="0"/>
        <v>10.419999999999959</v>
      </c>
    </row>
    <row r="11" spans="1:4" ht="12.75" customHeight="1" x14ac:dyDescent="0.25">
      <c r="A11" s="39">
        <v>1965</v>
      </c>
      <c r="B11" s="36">
        <v>904.60699999999997</v>
      </c>
      <c r="C11" s="35">
        <v>931.98500000000001</v>
      </c>
      <c r="D11" s="107">
        <f t="shared" si="0"/>
        <v>-27.378000000000043</v>
      </c>
    </row>
    <row r="12" spans="1:4" ht="12.75" customHeight="1" x14ac:dyDescent="0.25">
      <c r="A12" s="39">
        <v>1966</v>
      </c>
      <c r="B12" s="36">
        <v>988.46400000000006</v>
      </c>
      <c r="C12" s="35">
        <v>956.524</v>
      </c>
      <c r="D12" s="107">
        <f t="shared" si="0"/>
        <v>31.940000000000055</v>
      </c>
    </row>
    <row r="13" spans="1:4" ht="12.75" customHeight="1" x14ac:dyDescent="0.25">
      <c r="A13" s="39">
        <v>1967</v>
      </c>
      <c r="B13" s="36">
        <v>1014.222</v>
      </c>
      <c r="C13" s="35">
        <v>987.53499999999997</v>
      </c>
      <c r="D13" s="107">
        <f t="shared" si="0"/>
        <v>26.687000000000012</v>
      </c>
    </row>
    <row r="14" spans="1:4" ht="12.75" customHeight="1" x14ac:dyDescent="0.25">
      <c r="A14" s="39">
        <v>1968</v>
      </c>
      <c r="B14" s="36">
        <v>1052.4590000000001</v>
      </c>
      <c r="C14" s="35">
        <v>1019.986</v>
      </c>
      <c r="D14" s="107">
        <f t="shared" si="0"/>
        <v>32.47300000000007</v>
      </c>
    </row>
    <row r="15" spans="1:4" ht="12.75" customHeight="1" x14ac:dyDescent="0.25">
      <c r="A15" s="39">
        <v>1969</v>
      </c>
      <c r="B15" s="36">
        <v>1063.107</v>
      </c>
      <c r="C15" s="35">
        <v>1068.7059999999999</v>
      </c>
      <c r="D15" s="107">
        <f t="shared" si="0"/>
        <v>-5.5989999999999327</v>
      </c>
    </row>
    <row r="16" spans="1:4" ht="12.75" customHeight="1" x14ac:dyDescent="0.25">
      <c r="A16" s="39">
        <v>1970</v>
      </c>
      <c r="B16" s="36">
        <v>1078.7059999999999</v>
      </c>
      <c r="C16" s="35">
        <v>1107.951</v>
      </c>
      <c r="D16" s="107">
        <f t="shared" si="0"/>
        <v>-29.245000000000118</v>
      </c>
    </row>
    <row r="17" spans="1:4" ht="12.75" customHeight="1" x14ac:dyDescent="0.25">
      <c r="A17" s="39">
        <v>1971</v>
      </c>
      <c r="B17" s="36">
        <v>1177.258</v>
      </c>
      <c r="C17" s="35">
        <v>1149.9739999999999</v>
      </c>
      <c r="D17" s="107">
        <f t="shared" si="0"/>
        <v>27.284000000000106</v>
      </c>
    </row>
    <row r="18" spans="1:4" ht="12.75" customHeight="1" x14ac:dyDescent="0.25">
      <c r="A18" s="39">
        <v>1972</v>
      </c>
      <c r="B18" s="36">
        <v>1140.6099999999999</v>
      </c>
      <c r="C18" s="35">
        <v>1173.6210000000001</v>
      </c>
      <c r="D18" s="107">
        <f t="shared" si="0"/>
        <v>-33.011000000000195</v>
      </c>
    </row>
    <row r="19" spans="1:4" ht="12.75" customHeight="1" x14ac:dyDescent="0.25">
      <c r="A19" s="39">
        <v>1973</v>
      </c>
      <c r="B19" s="36">
        <v>1252.9549999999999</v>
      </c>
      <c r="C19" s="35">
        <v>1229.8109999999999</v>
      </c>
      <c r="D19" s="107">
        <f t="shared" si="0"/>
        <v>23.144000000000005</v>
      </c>
    </row>
    <row r="20" spans="1:4" ht="12.75" customHeight="1" x14ac:dyDescent="0.25">
      <c r="A20" s="39">
        <v>1974</v>
      </c>
      <c r="B20" s="36">
        <v>1203.498</v>
      </c>
      <c r="C20" s="35">
        <v>1190.4639999999999</v>
      </c>
      <c r="D20" s="107">
        <f t="shared" si="0"/>
        <v>13.034000000000106</v>
      </c>
    </row>
    <row r="21" spans="1:4" ht="12.75" customHeight="1" x14ac:dyDescent="0.25">
      <c r="A21" s="39">
        <v>1975</v>
      </c>
      <c r="B21" s="36">
        <v>1236.5350000000001</v>
      </c>
      <c r="C21" s="35">
        <v>1211.8340000000001</v>
      </c>
      <c r="D21" s="107">
        <f t="shared" si="0"/>
        <v>24.701000000000022</v>
      </c>
    </row>
    <row r="22" spans="1:4" ht="12.75" customHeight="1" x14ac:dyDescent="0.25">
      <c r="A22" s="39">
        <v>1976</v>
      </c>
      <c r="B22" s="36">
        <v>1341.7529999999999</v>
      </c>
      <c r="C22" s="35">
        <v>1272.7629999999999</v>
      </c>
      <c r="D22" s="107">
        <f t="shared" si="0"/>
        <v>68.990000000000009</v>
      </c>
    </row>
    <row r="23" spans="1:4" ht="12.75" customHeight="1" x14ac:dyDescent="0.25">
      <c r="A23" s="39">
        <v>1977</v>
      </c>
      <c r="B23" s="36">
        <v>1318.999</v>
      </c>
      <c r="C23" s="35">
        <v>1319.4369999999999</v>
      </c>
      <c r="D23" s="107">
        <f t="shared" si="0"/>
        <v>-0.43799999999987449</v>
      </c>
    </row>
    <row r="24" spans="1:4" ht="12.75" customHeight="1" x14ac:dyDescent="0.25">
      <c r="A24" s="39">
        <v>1978</v>
      </c>
      <c r="B24" s="36">
        <v>1445.1420000000001</v>
      </c>
      <c r="C24" s="35">
        <v>1380.0640000000001</v>
      </c>
      <c r="D24" s="107">
        <f t="shared" si="0"/>
        <v>65.077999999999975</v>
      </c>
    </row>
    <row r="25" spans="1:4" ht="12.75" customHeight="1" x14ac:dyDescent="0.25">
      <c r="A25" s="39">
        <v>1979</v>
      </c>
      <c r="B25" s="36">
        <v>1409.2349999999999</v>
      </c>
      <c r="C25" s="35">
        <v>1415.694</v>
      </c>
      <c r="D25" s="107">
        <f t="shared" si="0"/>
        <v>-6.45900000000006</v>
      </c>
    </row>
    <row r="26" spans="1:4" ht="12.75" customHeight="1" x14ac:dyDescent="0.25">
      <c r="A26" s="39">
        <v>1980</v>
      </c>
      <c r="B26" s="36">
        <v>1429.2380000000001</v>
      </c>
      <c r="C26" s="35">
        <v>1439.934</v>
      </c>
      <c r="D26" s="107">
        <f t="shared" si="0"/>
        <v>-10.695999999999913</v>
      </c>
    </row>
    <row r="27" spans="1:4" ht="12.75" customHeight="1" x14ac:dyDescent="0.25">
      <c r="A27" s="39">
        <v>1981</v>
      </c>
      <c r="B27" s="36">
        <v>1481.9079999999999</v>
      </c>
      <c r="C27" s="35">
        <v>1457.8040000000001</v>
      </c>
      <c r="D27" s="107">
        <f t="shared" si="0"/>
        <v>24.103999999999814</v>
      </c>
    </row>
    <row r="28" spans="1:4" ht="12.75" customHeight="1" x14ac:dyDescent="0.25">
      <c r="A28" s="39">
        <v>1982</v>
      </c>
      <c r="B28" s="36">
        <v>1532.992</v>
      </c>
      <c r="C28" s="35">
        <v>1474.6369999999999</v>
      </c>
      <c r="D28" s="107">
        <f t="shared" si="0"/>
        <v>58.355000000000018</v>
      </c>
    </row>
    <row r="29" spans="1:4" ht="12.75" customHeight="1" x14ac:dyDescent="0.25">
      <c r="A29" s="39">
        <v>1983</v>
      </c>
      <c r="B29" s="36">
        <v>1469.4390000000001</v>
      </c>
      <c r="C29" s="35">
        <v>1500.9179999999999</v>
      </c>
      <c r="D29" s="107">
        <f t="shared" si="0"/>
        <v>-31.478999999999814</v>
      </c>
    </row>
    <row r="30" spans="1:4" ht="12.75" customHeight="1" x14ac:dyDescent="0.25">
      <c r="A30" s="39">
        <v>1984</v>
      </c>
      <c r="B30" s="36">
        <v>1631.7529999999999</v>
      </c>
      <c r="C30" s="35">
        <v>1548.9839999999999</v>
      </c>
      <c r="D30" s="107">
        <f t="shared" si="0"/>
        <v>82.769000000000005</v>
      </c>
    </row>
    <row r="31" spans="1:4" ht="12.75" customHeight="1" x14ac:dyDescent="0.25">
      <c r="A31" s="39">
        <v>1985</v>
      </c>
      <c r="B31" s="36">
        <v>1646.5070000000001</v>
      </c>
      <c r="C31" s="35">
        <v>1552.701</v>
      </c>
      <c r="D31" s="107">
        <f t="shared" si="0"/>
        <v>93.80600000000004</v>
      </c>
    </row>
    <row r="32" spans="1:4" ht="12.75" customHeight="1" x14ac:dyDescent="0.25">
      <c r="A32" s="39">
        <v>1986</v>
      </c>
      <c r="B32" s="36">
        <v>1664.0239999999999</v>
      </c>
      <c r="C32" s="35">
        <v>1601.375</v>
      </c>
      <c r="D32" s="107">
        <f t="shared" si="0"/>
        <v>62.648999999999887</v>
      </c>
    </row>
    <row r="33" spans="1:4" ht="12.75" customHeight="1" x14ac:dyDescent="0.25">
      <c r="A33" s="39">
        <v>1987</v>
      </c>
      <c r="B33" s="36">
        <v>1600.953</v>
      </c>
      <c r="C33" s="35">
        <v>1639.7170000000001</v>
      </c>
      <c r="D33" s="107">
        <f t="shared" si="0"/>
        <v>-38.764000000000124</v>
      </c>
    </row>
    <row r="34" spans="1:4" ht="12.75" customHeight="1" x14ac:dyDescent="0.25">
      <c r="A34" s="39">
        <v>1988</v>
      </c>
      <c r="B34" s="36">
        <v>1550.2339999999999</v>
      </c>
      <c r="C34" s="35">
        <v>1620.4010000000001</v>
      </c>
      <c r="D34" s="107">
        <f t="shared" si="0"/>
        <v>-70.167000000000144</v>
      </c>
    </row>
    <row r="35" spans="1:4" ht="12.75" customHeight="1" x14ac:dyDescent="0.25">
      <c r="A35" s="39">
        <v>1989</v>
      </c>
      <c r="B35" s="36">
        <v>1672.66</v>
      </c>
      <c r="C35" s="35">
        <v>1676.7260000000001</v>
      </c>
      <c r="D35" s="107">
        <f t="shared" si="0"/>
        <v>-4.0660000000000309</v>
      </c>
    </row>
    <row r="36" spans="1:4" ht="12.75" customHeight="1" x14ac:dyDescent="0.25">
      <c r="A36" s="39">
        <v>1990</v>
      </c>
      <c r="B36" s="36">
        <v>1769.019</v>
      </c>
      <c r="C36" s="35">
        <v>1706.972</v>
      </c>
      <c r="D36" s="107">
        <f t="shared" si="0"/>
        <v>62.047000000000025</v>
      </c>
    </row>
    <row r="37" spans="1:4" ht="12.75" customHeight="1" x14ac:dyDescent="0.25">
      <c r="A37" s="39">
        <v>1991</v>
      </c>
      <c r="B37" s="36">
        <v>1708.9780000000001</v>
      </c>
      <c r="C37" s="35">
        <v>1713.6079999999999</v>
      </c>
      <c r="D37" s="107">
        <f t="shared" si="0"/>
        <v>-4.6299999999998818</v>
      </c>
    </row>
    <row r="38" spans="1:4" ht="12.75" customHeight="1" x14ac:dyDescent="0.25">
      <c r="A38" s="39">
        <v>1992</v>
      </c>
      <c r="B38" s="36">
        <v>1785.5730000000001</v>
      </c>
      <c r="C38" s="35">
        <v>1736.066</v>
      </c>
      <c r="D38" s="107">
        <f t="shared" si="0"/>
        <v>49.507000000000062</v>
      </c>
    </row>
    <row r="39" spans="1:4" ht="12.75" customHeight="1" x14ac:dyDescent="0.25">
      <c r="A39" s="39">
        <v>1993</v>
      </c>
      <c r="B39" s="36">
        <v>1710.7819999999999</v>
      </c>
      <c r="C39" s="35">
        <v>1739.693</v>
      </c>
      <c r="D39" s="107">
        <f t="shared" si="0"/>
        <v>-28.911000000000058</v>
      </c>
    </row>
    <row r="40" spans="1:4" ht="12.75" customHeight="1" x14ac:dyDescent="0.25">
      <c r="A40" s="39">
        <v>1994</v>
      </c>
      <c r="B40" s="36">
        <v>1756.6220000000001</v>
      </c>
      <c r="C40" s="35">
        <v>1762.289</v>
      </c>
      <c r="D40" s="107">
        <f t="shared" si="0"/>
        <v>-5.6669999999999163</v>
      </c>
    </row>
    <row r="41" spans="1:4" ht="12.75" customHeight="1" x14ac:dyDescent="0.25">
      <c r="A41" s="39">
        <v>1995</v>
      </c>
      <c r="B41" s="36">
        <v>1707.249</v>
      </c>
      <c r="C41" s="35">
        <v>1740.895</v>
      </c>
      <c r="D41" s="107">
        <f t="shared" si="0"/>
        <v>-33.645999999999958</v>
      </c>
    </row>
    <row r="42" spans="1:4" ht="12.75" customHeight="1" x14ac:dyDescent="0.25">
      <c r="A42" s="39">
        <v>1996</v>
      </c>
      <c r="B42" s="36">
        <v>1871.9259999999999</v>
      </c>
      <c r="C42" s="35">
        <v>1808.8820000000001</v>
      </c>
      <c r="D42" s="107">
        <f t="shared" si="0"/>
        <v>63.043999999999869</v>
      </c>
    </row>
    <row r="43" spans="1:4" ht="12.75" customHeight="1" x14ac:dyDescent="0.25">
      <c r="A43" s="39">
        <v>1997</v>
      </c>
      <c r="B43" s="36">
        <v>1879.0260000000001</v>
      </c>
      <c r="C43" s="35">
        <v>1820.884</v>
      </c>
      <c r="D43" s="107">
        <f t="shared" si="0"/>
        <v>58.142000000000053</v>
      </c>
    </row>
    <row r="44" spans="1:4" ht="12.75" customHeight="1" x14ac:dyDescent="0.25">
      <c r="A44" s="39">
        <v>1998</v>
      </c>
      <c r="B44" s="36">
        <v>1876.807</v>
      </c>
      <c r="C44" s="35">
        <v>1835.3130000000001</v>
      </c>
      <c r="D44" s="107">
        <f t="shared" si="0"/>
        <v>41.493999999999915</v>
      </c>
    </row>
    <row r="45" spans="1:4" ht="12.75" customHeight="1" x14ac:dyDescent="0.25">
      <c r="A45" s="39">
        <v>1999</v>
      </c>
      <c r="B45" s="36">
        <v>1874.086</v>
      </c>
      <c r="C45" s="35">
        <v>1855.875</v>
      </c>
      <c r="D45" s="107">
        <f t="shared" si="0"/>
        <v>18.211000000000013</v>
      </c>
    </row>
    <row r="46" spans="1:4" ht="12.75" customHeight="1" x14ac:dyDescent="0.25">
      <c r="A46" s="39">
        <v>2000</v>
      </c>
      <c r="B46" s="36">
        <v>1846.008</v>
      </c>
      <c r="C46" s="35">
        <v>1861.1849999999999</v>
      </c>
      <c r="D46" s="107">
        <f t="shared" si="0"/>
        <v>-15.176999999999907</v>
      </c>
    </row>
    <row r="47" spans="1:4" ht="12.75" customHeight="1" x14ac:dyDescent="0.25">
      <c r="A47" s="39">
        <v>2001</v>
      </c>
      <c r="B47" s="36">
        <v>1879.64</v>
      </c>
      <c r="C47" s="35">
        <v>1904.7660000000001</v>
      </c>
      <c r="D47" s="107">
        <f t="shared" si="0"/>
        <v>-25.125999999999976</v>
      </c>
    </row>
    <row r="48" spans="1:4" ht="12.75" customHeight="1" x14ac:dyDescent="0.25">
      <c r="A48" s="39">
        <v>2002</v>
      </c>
      <c r="B48" s="36">
        <v>1821.443</v>
      </c>
      <c r="C48" s="35">
        <v>1909.4259999999999</v>
      </c>
      <c r="D48" s="107">
        <f t="shared" si="0"/>
        <v>-87.982999999999947</v>
      </c>
    </row>
    <row r="49" spans="1:7" ht="12.75" customHeight="1" x14ac:dyDescent="0.25">
      <c r="A49" s="39">
        <v>2003</v>
      </c>
      <c r="B49" s="36">
        <v>1863.55</v>
      </c>
      <c r="C49" s="35">
        <v>1935.944</v>
      </c>
      <c r="D49" s="107">
        <f t="shared" si="0"/>
        <v>-72.394000000000005</v>
      </c>
    </row>
    <row r="50" spans="1:7" ht="12.75" customHeight="1" x14ac:dyDescent="0.25">
      <c r="A50" s="39">
        <v>2004</v>
      </c>
      <c r="B50" s="36">
        <v>2043.1690000000001</v>
      </c>
      <c r="C50" s="35">
        <v>1989.5619999999999</v>
      </c>
      <c r="D50" s="107">
        <f t="shared" si="0"/>
        <v>53.607000000000198</v>
      </c>
    </row>
    <row r="51" spans="1:7" ht="12.75" customHeight="1" x14ac:dyDescent="0.25">
      <c r="A51" s="39">
        <v>2005</v>
      </c>
      <c r="B51" s="36">
        <v>2016.481</v>
      </c>
      <c r="C51" s="35">
        <v>2020.0309999999999</v>
      </c>
      <c r="D51" s="107">
        <f t="shared" si="0"/>
        <v>-3.5499999999999545</v>
      </c>
    </row>
    <row r="52" spans="1:7" ht="12.75" customHeight="1" x14ac:dyDescent="0.25">
      <c r="A52" s="39">
        <v>2006</v>
      </c>
      <c r="B52" s="36">
        <v>2004.74</v>
      </c>
      <c r="C52" s="35">
        <v>2044.9390000000001</v>
      </c>
      <c r="D52" s="107">
        <f t="shared" si="0"/>
        <v>-40.199000000000069</v>
      </c>
    </row>
    <row r="53" spans="1:7" ht="12.75" customHeight="1" x14ac:dyDescent="0.25">
      <c r="A53" s="39">
        <v>2007</v>
      </c>
      <c r="B53" s="36">
        <v>2125.5680000000002</v>
      </c>
      <c r="C53" s="35">
        <v>2096.8209999999999</v>
      </c>
      <c r="D53" s="107">
        <f t="shared" si="0"/>
        <v>28.747000000000298</v>
      </c>
    </row>
    <row r="54" spans="1:7" ht="12.75" customHeight="1" x14ac:dyDescent="0.25">
      <c r="A54" s="39">
        <v>2008</v>
      </c>
      <c r="B54" s="36">
        <v>2244.1999999999998</v>
      </c>
      <c r="C54" s="35">
        <v>2151.7449999999999</v>
      </c>
      <c r="D54" s="107">
        <f t="shared" si="0"/>
        <v>92.454999999999927</v>
      </c>
    </row>
    <row r="55" spans="1:7" ht="12.75" customHeight="1" x14ac:dyDescent="0.25">
      <c r="A55" s="39">
        <v>2009</v>
      </c>
      <c r="B55" s="36">
        <v>2238.3649999999998</v>
      </c>
      <c r="C55" s="35">
        <v>2188.6849999999999</v>
      </c>
      <c r="D55" s="107">
        <f t="shared" si="0"/>
        <v>49.679999999999836</v>
      </c>
    </row>
    <row r="56" spans="1:7" ht="12.75" customHeight="1" x14ac:dyDescent="0.25">
      <c r="A56" s="39">
        <v>2010</v>
      </c>
      <c r="B56" s="36">
        <v>2197.1179999999999</v>
      </c>
      <c r="C56" s="35">
        <v>2226.9430000000002</v>
      </c>
      <c r="D56" s="107">
        <f t="shared" si="0"/>
        <v>-29.825000000000273</v>
      </c>
    </row>
    <row r="57" spans="1:7" ht="12.75" customHeight="1" x14ac:dyDescent="0.25">
      <c r="A57" s="38">
        <v>2011</v>
      </c>
      <c r="B57" s="108">
        <v>2304.306</v>
      </c>
      <c r="C57" s="96">
        <v>2284.6329999999998</v>
      </c>
      <c r="D57" s="44">
        <f t="shared" si="0"/>
        <v>19.673000000000229</v>
      </c>
    </row>
    <row r="58" spans="1:7" ht="12.75" customHeight="1" x14ac:dyDescent="0.25">
      <c r="B58" s="36"/>
    </row>
    <row r="59" spans="1:7" ht="12.75" customHeight="1" x14ac:dyDescent="0.25">
      <c r="A59" s="264" t="s">
        <v>57</v>
      </c>
      <c r="B59" s="265"/>
      <c r="C59" s="265"/>
      <c r="D59" s="265"/>
      <c r="E59" s="265"/>
    </row>
    <row r="60" spans="1:7" ht="12.75" customHeight="1" x14ac:dyDescent="0.25">
      <c r="A60" s="265"/>
      <c r="B60" s="265"/>
      <c r="C60" s="265"/>
      <c r="D60" s="265"/>
      <c r="E60" s="265"/>
    </row>
    <row r="61" spans="1:7" ht="12.75" customHeight="1" x14ac:dyDescent="0.25">
      <c r="A61" s="265"/>
      <c r="B61" s="265"/>
      <c r="C61" s="265"/>
      <c r="D61" s="265"/>
      <c r="E61" s="265"/>
    </row>
    <row r="62" spans="1:7" ht="12.75" customHeight="1" x14ac:dyDescent="0.25">
      <c r="B62" s="36"/>
    </row>
    <row r="63" spans="1:7" x14ac:dyDescent="0.25">
      <c r="A63" s="259" t="s">
        <v>164</v>
      </c>
      <c r="B63" s="259"/>
      <c r="C63" s="259"/>
      <c r="D63" s="259"/>
      <c r="E63" s="259"/>
      <c r="F63" s="259"/>
      <c r="G63" s="259"/>
    </row>
    <row r="64" spans="1:7" x14ac:dyDescent="0.25">
      <c r="A64" s="259"/>
      <c r="B64" s="259"/>
      <c r="C64" s="259"/>
      <c r="D64" s="259"/>
      <c r="E64" s="259"/>
      <c r="F64" s="259"/>
      <c r="G64" s="259"/>
    </row>
    <row r="65" spans="1:7" x14ac:dyDescent="0.25">
      <c r="A65" s="259"/>
      <c r="B65" s="259"/>
      <c r="C65" s="259"/>
      <c r="D65" s="259"/>
      <c r="E65" s="259"/>
      <c r="F65" s="259"/>
      <c r="G65" s="259"/>
    </row>
    <row r="66" spans="1:7" x14ac:dyDescent="0.25">
      <c r="B66" s="36"/>
    </row>
    <row r="67" spans="1:7" x14ac:dyDescent="0.25">
      <c r="B67" s="109"/>
    </row>
    <row r="68" spans="1:7" x14ac:dyDescent="0.25">
      <c r="B68" s="110"/>
    </row>
  </sheetData>
  <mergeCells count="3">
    <mergeCell ref="B4:D4"/>
    <mergeCell ref="A59:E61"/>
    <mergeCell ref="A63:G65"/>
  </mergeCells>
  <pageMargins left="0.7" right="0.7" top="0.75" bottom="0.75" header="0.3" footer="0.3"/>
  <pageSetup scale="83" orientation="portrait"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79"/>
  <sheetViews>
    <sheetView zoomScaleNormal="100" zoomScaleSheetLayoutView="100" workbookViewId="0"/>
  </sheetViews>
  <sheetFormatPr defaultColWidth="8.85546875" defaultRowHeight="15" x14ac:dyDescent="0.25"/>
  <cols>
    <col min="1" max="1" width="8.85546875" style="27"/>
    <col min="2" max="4" width="24.42578125" style="27" customWidth="1"/>
    <col min="5" max="16384" width="8.85546875" style="27"/>
  </cols>
  <sheetData>
    <row r="1" spans="1:4" s="53" customFormat="1" ht="12.75" customHeight="1" x14ac:dyDescent="0.25">
      <c r="A1" s="21" t="s">
        <v>70</v>
      </c>
      <c r="D1" s="97"/>
    </row>
    <row r="2" spans="1:4" s="53" customFormat="1" ht="12.75" customHeight="1" x14ac:dyDescent="0.25">
      <c r="D2" s="97"/>
    </row>
    <row r="3" spans="1:4" s="53" customFormat="1" ht="12.75" customHeight="1" x14ac:dyDescent="0.25">
      <c r="A3" s="38" t="s">
        <v>51</v>
      </c>
      <c r="B3" s="98" t="s">
        <v>71</v>
      </c>
      <c r="C3" s="99" t="s">
        <v>64</v>
      </c>
      <c r="D3" s="98" t="s">
        <v>72</v>
      </c>
    </row>
    <row r="4" spans="1:4" s="53" customFormat="1" ht="12.75" customHeight="1" x14ac:dyDescent="0.25">
      <c r="A4" s="39"/>
      <c r="B4" s="100" t="s">
        <v>62</v>
      </c>
      <c r="C4" s="101" t="s">
        <v>66</v>
      </c>
      <c r="D4" s="190" t="s">
        <v>35</v>
      </c>
    </row>
    <row r="5" spans="1:4" s="53" customFormat="1" ht="12.75" customHeight="1" x14ac:dyDescent="0.25">
      <c r="D5" s="97"/>
    </row>
    <row r="6" spans="1:4" s="53" customFormat="1" ht="12.75" customHeight="1" x14ac:dyDescent="0.25">
      <c r="A6" s="85">
        <v>1950</v>
      </c>
      <c r="B6" s="102">
        <v>587</v>
      </c>
      <c r="C6" s="35">
        <v>2532.2289999999998</v>
      </c>
      <c r="D6" s="103">
        <f t="shared" ref="D6:D14" si="0">(B6/C6)</f>
        <v>0.23181157786282364</v>
      </c>
    </row>
    <row r="7" spans="1:4" s="53" customFormat="1" ht="12.75" customHeight="1" x14ac:dyDescent="0.25">
      <c r="A7" s="85">
        <f t="shared" ref="A7:A63" si="1">A6+1</f>
        <v>1951</v>
      </c>
      <c r="B7" s="102">
        <v>593</v>
      </c>
      <c r="C7" s="35">
        <v>2580.96</v>
      </c>
      <c r="D7" s="103">
        <f t="shared" si="0"/>
        <v>0.22975946934473993</v>
      </c>
    </row>
    <row r="8" spans="1:4" s="53" customFormat="1" ht="12.75" customHeight="1" x14ac:dyDescent="0.25">
      <c r="A8" s="85">
        <f t="shared" si="1"/>
        <v>1952</v>
      </c>
      <c r="B8" s="102">
        <v>604</v>
      </c>
      <c r="C8" s="35">
        <v>2628.4479999999999</v>
      </c>
      <c r="D8" s="103">
        <f t="shared" si="0"/>
        <v>0.22979339899438758</v>
      </c>
    </row>
    <row r="9" spans="1:4" s="53" customFormat="1" ht="12.75" customHeight="1" x14ac:dyDescent="0.25">
      <c r="A9" s="85">
        <f t="shared" si="1"/>
        <v>1953</v>
      </c>
      <c r="B9" s="102">
        <v>623</v>
      </c>
      <c r="C9" s="35">
        <v>2675.7660000000001</v>
      </c>
      <c r="D9" s="103">
        <f t="shared" si="0"/>
        <v>0.23283052404432972</v>
      </c>
    </row>
    <row r="10" spans="1:4" s="53" customFormat="1" ht="12.75" customHeight="1" x14ac:dyDescent="0.25">
      <c r="A10" s="85">
        <f t="shared" si="1"/>
        <v>1954</v>
      </c>
      <c r="B10" s="104">
        <v>631</v>
      </c>
      <c r="C10" s="35">
        <v>2723.7260000000001</v>
      </c>
      <c r="D10" s="103">
        <f t="shared" si="0"/>
        <v>0.23166794310440916</v>
      </c>
    </row>
    <row r="11" spans="1:4" s="53" customFormat="1" ht="12.75" customHeight="1" x14ac:dyDescent="0.25">
      <c r="A11" s="85">
        <f t="shared" si="1"/>
        <v>1955</v>
      </c>
      <c r="B11" s="104">
        <v>639</v>
      </c>
      <c r="C11" s="35">
        <v>2772.8820000000001</v>
      </c>
      <c r="D11" s="103">
        <f t="shared" si="0"/>
        <v>0.23044615674233523</v>
      </c>
    </row>
    <row r="12" spans="1:4" s="53" customFormat="1" ht="12.75" customHeight="1" x14ac:dyDescent="0.25">
      <c r="A12" s="85">
        <f t="shared" si="1"/>
        <v>1956</v>
      </c>
      <c r="B12" s="104">
        <v>640</v>
      </c>
      <c r="C12" s="35">
        <v>2823.5129999999999</v>
      </c>
      <c r="D12" s="103">
        <f t="shared" si="0"/>
        <v>0.22666798417432468</v>
      </c>
    </row>
    <row r="13" spans="1:4" s="53" customFormat="1" ht="12.75" customHeight="1" x14ac:dyDescent="0.25">
      <c r="A13" s="85">
        <f t="shared" si="1"/>
        <v>1957</v>
      </c>
      <c r="B13" s="104">
        <v>645</v>
      </c>
      <c r="C13" s="35">
        <v>2875.6419999999998</v>
      </c>
      <c r="D13" s="103">
        <f t="shared" si="0"/>
        <v>0.22429773942653503</v>
      </c>
    </row>
    <row r="14" spans="1:4" s="53" customFormat="1" ht="12.75" customHeight="1" x14ac:dyDescent="0.25">
      <c r="A14" s="85">
        <f t="shared" si="1"/>
        <v>1958</v>
      </c>
      <c r="B14" s="104">
        <v>644</v>
      </c>
      <c r="C14" s="35">
        <v>2929.069</v>
      </c>
      <c r="D14" s="103">
        <f t="shared" si="0"/>
        <v>0.21986508341046251</v>
      </c>
    </row>
    <row r="15" spans="1:4" s="53" customFormat="1" ht="12.75" customHeight="1" x14ac:dyDescent="0.25">
      <c r="A15" s="85">
        <f t="shared" si="1"/>
        <v>1959</v>
      </c>
      <c r="B15" s="104">
        <v>642</v>
      </c>
      <c r="C15" s="35">
        <v>2983.4349999999999</v>
      </c>
      <c r="D15" s="103">
        <f>(B15/C15)</f>
        <v>0.21518819749718027</v>
      </c>
    </row>
    <row r="16" spans="1:4" ht="12.75" customHeight="1" x14ac:dyDescent="0.25">
      <c r="A16" s="85">
        <f t="shared" si="1"/>
        <v>1960</v>
      </c>
      <c r="B16" s="128">
        <v>638.50800000000004</v>
      </c>
      <c r="C16" s="35">
        <v>3038.413</v>
      </c>
      <c r="D16" s="103">
        <f t="shared" ref="D16:D67" si="2">(B16/C16)</f>
        <v>0.21014523042127586</v>
      </c>
    </row>
    <row r="17" spans="1:4" ht="12.75" customHeight="1" x14ac:dyDescent="0.25">
      <c r="A17" s="85">
        <f t="shared" si="1"/>
        <v>1961</v>
      </c>
      <c r="B17" s="128">
        <v>634.74599999999998</v>
      </c>
      <c r="C17" s="35">
        <v>3093.9090000000001</v>
      </c>
      <c r="D17" s="103">
        <f t="shared" si="2"/>
        <v>0.20515988026797166</v>
      </c>
    </row>
    <row r="18" spans="1:4" ht="12.75" customHeight="1" x14ac:dyDescent="0.25">
      <c r="A18" s="85">
        <f t="shared" si="1"/>
        <v>1962</v>
      </c>
      <c r="B18" s="128">
        <v>641.05200000000002</v>
      </c>
      <c r="C18" s="35">
        <v>3150.2420000000002</v>
      </c>
      <c r="D18" s="103">
        <f>(B18/C18)</f>
        <v>0.2034929380028582</v>
      </c>
    </row>
    <row r="19" spans="1:4" ht="12.75" customHeight="1" x14ac:dyDescent="0.25">
      <c r="A19" s="85">
        <f t="shared" si="1"/>
        <v>1963</v>
      </c>
      <c r="B19" s="128">
        <v>648.31299999999999</v>
      </c>
      <c r="C19" s="35">
        <v>3208.212</v>
      </c>
      <c r="D19" s="103">
        <f t="shared" si="2"/>
        <v>0.20207922668452086</v>
      </c>
    </row>
    <row r="20" spans="1:4" ht="12.75" customHeight="1" x14ac:dyDescent="0.25">
      <c r="A20" s="85">
        <f t="shared" si="1"/>
        <v>1964</v>
      </c>
      <c r="B20" s="128">
        <v>656.67700000000002</v>
      </c>
      <c r="C20" s="35">
        <v>3268.8960000000002</v>
      </c>
      <c r="D20" s="103">
        <f t="shared" si="2"/>
        <v>0.20088647665756268</v>
      </c>
    </row>
    <row r="21" spans="1:4" ht="12.75" customHeight="1" x14ac:dyDescent="0.25">
      <c r="A21" s="85">
        <f t="shared" si="1"/>
        <v>1965</v>
      </c>
      <c r="B21" s="128">
        <v>652.62400000000002</v>
      </c>
      <c r="C21" s="35">
        <v>3333.0070000000001</v>
      </c>
      <c r="D21" s="103">
        <f t="shared" si="2"/>
        <v>0.19580636944356852</v>
      </c>
    </row>
    <row r="22" spans="1:4" ht="12.75" customHeight="1" x14ac:dyDescent="0.25">
      <c r="A22" s="85">
        <f t="shared" si="1"/>
        <v>1966</v>
      </c>
      <c r="B22" s="128">
        <v>654.78899999999999</v>
      </c>
      <c r="C22" s="35">
        <v>3400.8229999999999</v>
      </c>
      <c r="D22" s="103">
        <f t="shared" si="2"/>
        <v>0.19253839438277146</v>
      </c>
    </row>
    <row r="23" spans="1:4" ht="12.75" customHeight="1" x14ac:dyDescent="0.25">
      <c r="A23" s="85">
        <f t="shared" si="1"/>
        <v>1967</v>
      </c>
      <c r="B23" s="128">
        <v>665.18299999999999</v>
      </c>
      <c r="C23" s="35">
        <v>3471.9549999999999</v>
      </c>
      <c r="D23" s="103">
        <f t="shared" si="2"/>
        <v>0.19158744857004195</v>
      </c>
    </row>
    <row r="24" spans="1:4" ht="12.75" customHeight="1" x14ac:dyDescent="0.25">
      <c r="A24" s="85">
        <f t="shared" si="1"/>
        <v>1968</v>
      </c>
      <c r="B24" s="128">
        <v>670.17700000000002</v>
      </c>
      <c r="C24" s="35">
        <v>3545.6129999999998</v>
      </c>
      <c r="D24" s="103">
        <f t="shared" si="2"/>
        <v>0.18901583449744799</v>
      </c>
    </row>
    <row r="25" spans="1:4" ht="12.75" customHeight="1" x14ac:dyDescent="0.25">
      <c r="A25" s="85">
        <f t="shared" si="1"/>
        <v>1969</v>
      </c>
      <c r="B25" s="128">
        <v>671.779</v>
      </c>
      <c r="C25" s="35">
        <v>3620.652</v>
      </c>
      <c r="D25" s="103">
        <f t="shared" si="2"/>
        <v>0.18554089153003381</v>
      </c>
    </row>
    <row r="26" spans="1:4" ht="12.75" customHeight="1" x14ac:dyDescent="0.25">
      <c r="A26" s="85">
        <f t="shared" si="1"/>
        <v>1970</v>
      </c>
      <c r="B26" s="128">
        <v>662.85</v>
      </c>
      <c r="C26" s="35">
        <v>3696.1860000000001</v>
      </c>
      <c r="D26" s="103">
        <f t="shared" si="2"/>
        <v>0.17933350756698932</v>
      </c>
    </row>
    <row r="27" spans="1:4" ht="12.75" customHeight="1" x14ac:dyDescent="0.25">
      <c r="A27" s="85">
        <f t="shared" si="1"/>
        <v>1971</v>
      </c>
      <c r="B27" s="128">
        <v>671.97500000000002</v>
      </c>
      <c r="C27" s="35">
        <v>3772.0479999999998</v>
      </c>
      <c r="D27" s="103">
        <f t="shared" si="2"/>
        <v>0.17814593027448219</v>
      </c>
    </row>
    <row r="28" spans="1:4" ht="12.75" customHeight="1" x14ac:dyDescent="0.25">
      <c r="A28" s="85">
        <f t="shared" si="1"/>
        <v>1972</v>
      </c>
      <c r="B28" s="128">
        <v>660.899</v>
      </c>
      <c r="C28" s="35">
        <v>3848.319</v>
      </c>
      <c r="D28" s="103">
        <f t="shared" si="2"/>
        <v>0.17173706233812738</v>
      </c>
    </row>
    <row r="29" spans="1:4" ht="12.75" customHeight="1" x14ac:dyDescent="0.25">
      <c r="A29" s="85">
        <f t="shared" si="1"/>
        <v>1973</v>
      </c>
      <c r="B29" s="128">
        <v>688.15300000000002</v>
      </c>
      <c r="C29" s="35">
        <v>3924.6680000000001</v>
      </c>
      <c r="D29" s="103">
        <f t="shared" si="2"/>
        <v>0.17534043643946443</v>
      </c>
    </row>
    <row r="30" spans="1:4" ht="12.75" customHeight="1" x14ac:dyDescent="0.25">
      <c r="A30" s="85">
        <f t="shared" si="1"/>
        <v>1974</v>
      </c>
      <c r="B30" s="128">
        <v>690.49699999999996</v>
      </c>
      <c r="C30" s="35">
        <v>4000.7640000000001</v>
      </c>
      <c r="D30" s="103">
        <f t="shared" si="2"/>
        <v>0.17259128506455265</v>
      </c>
    </row>
    <row r="31" spans="1:4" ht="12.75" customHeight="1" x14ac:dyDescent="0.25">
      <c r="A31" s="85">
        <f t="shared" si="1"/>
        <v>1975</v>
      </c>
      <c r="B31" s="128">
        <v>707.40499999999997</v>
      </c>
      <c r="C31" s="35">
        <v>4076.4189999999999</v>
      </c>
      <c r="D31" s="103">
        <f t="shared" si="2"/>
        <v>0.17353589020166965</v>
      </c>
    </row>
    <row r="32" spans="1:4" ht="12.75" customHeight="1" x14ac:dyDescent="0.25">
      <c r="A32" s="85">
        <f t="shared" si="1"/>
        <v>1976</v>
      </c>
      <c r="B32" s="128">
        <v>716.09500000000003</v>
      </c>
      <c r="C32" s="35">
        <v>4151.41</v>
      </c>
      <c r="D32" s="103">
        <f t="shared" si="2"/>
        <v>0.17249440551523459</v>
      </c>
    </row>
    <row r="33" spans="1:4" ht="12.75" customHeight="1" x14ac:dyDescent="0.25">
      <c r="A33" s="85">
        <f t="shared" si="1"/>
        <v>1977</v>
      </c>
      <c r="B33" s="128">
        <v>713.56899999999996</v>
      </c>
      <c r="C33" s="35">
        <v>4225.8639999999996</v>
      </c>
      <c r="D33" s="103">
        <f t="shared" si="2"/>
        <v>0.16885754013853735</v>
      </c>
    </row>
    <row r="34" spans="1:4" ht="12.75" customHeight="1" x14ac:dyDescent="0.25">
      <c r="A34" s="85">
        <f t="shared" si="1"/>
        <v>1978</v>
      </c>
      <c r="B34" s="128">
        <v>712.90599999999995</v>
      </c>
      <c r="C34" s="35">
        <v>4300.402</v>
      </c>
      <c r="D34" s="103">
        <f t="shared" si="2"/>
        <v>0.16577659483927315</v>
      </c>
    </row>
    <row r="35" spans="1:4" ht="12.75" customHeight="1" x14ac:dyDescent="0.25">
      <c r="A35" s="85">
        <f t="shared" si="1"/>
        <v>1979</v>
      </c>
      <c r="B35" s="128">
        <v>710.27700000000004</v>
      </c>
      <c r="C35" s="35">
        <v>4375.8990000000003</v>
      </c>
      <c r="D35" s="103">
        <f t="shared" si="2"/>
        <v>0.16231567501900751</v>
      </c>
    </row>
    <row r="36" spans="1:4" ht="12.75" customHeight="1" x14ac:dyDescent="0.25">
      <c r="A36" s="85">
        <f t="shared" si="1"/>
        <v>1980</v>
      </c>
      <c r="B36" s="128">
        <v>721.97</v>
      </c>
      <c r="C36" s="35">
        <v>4453.0069999999996</v>
      </c>
      <c r="D36" s="103">
        <f t="shared" si="2"/>
        <v>0.16213089267544384</v>
      </c>
    </row>
    <row r="37" spans="1:4" ht="12.75" customHeight="1" x14ac:dyDescent="0.25">
      <c r="A37" s="85">
        <f t="shared" si="1"/>
        <v>1981</v>
      </c>
      <c r="B37" s="128">
        <v>732.154</v>
      </c>
      <c r="C37" s="35">
        <v>4531.799</v>
      </c>
      <c r="D37" s="103">
        <f t="shared" si="2"/>
        <v>0.16155923949848613</v>
      </c>
    </row>
    <row r="38" spans="1:4" ht="12.75" customHeight="1" x14ac:dyDescent="0.25">
      <c r="A38" s="85">
        <f t="shared" si="1"/>
        <v>1982</v>
      </c>
      <c r="B38" s="128">
        <v>717.43</v>
      </c>
      <c r="C38" s="35">
        <v>4612.12</v>
      </c>
      <c r="D38" s="103">
        <f t="shared" si="2"/>
        <v>0.15555319462633235</v>
      </c>
    </row>
    <row r="39" spans="1:4" ht="12.75" customHeight="1" x14ac:dyDescent="0.25">
      <c r="A39" s="85">
        <f t="shared" si="1"/>
        <v>1983</v>
      </c>
      <c r="B39" s="128">
        <v>708.43700000000001</v>
      </c>
      <c r="C39" s="35">
        <v>4694.0969999999998</v>
      </c>
      <c r="D39" s="103">
        <f t="shared" si="2"/>
        <v>0.1509208267319572</v>
      </c>
    </row>
    <row r="40" spans="1:4" ht="12.75" customHeight="1" x14ac:dyDescent="0.25">
      <c r="A40" s="85">
        <f t="shared" si="1"/>
        <v>1984</v>
      </c>
      <c r="B40" s="128">
        <v>711.04700000000003</v>
      </c>
      <c r="C40" s="35">
        <v>4777.8280000000004</v>
      </c>
      <c r="D40" s="103">
        <f t="shared" si="2"/>
        <v>0.1488222263338069</v>
      </c>
    </row>
    <row r="41" spans="1:4" ht="12.75" customHeight="1" x14ac:dyDescent="0.25">
      <c r="A41" s="85">
        <f t="shared" si="1"/>
        <v>1985</v>
      </c>
      <c r="B41" s="128">
        <v>715.63499999999999</v>
      </c>
      <c r="C41" s="35">
        <v>4863.29</v>
      </c>
      <c r="D41" s="103">
        <f t="shared" si="2"/>
        <v>0.14715038584990819</v>
      </c>
    </row>
    <row r="42" spans="1:4" ht="12.75" customHeight="1" x14ac:dyDescent="0.25">
      <c r="A42" s="85">
        <f t="shared" si="1"/>
        <v>1986</v>
      </c>
      <c r="B42" s="128">
        <v>710.41800000000001</v>
      </c>
      <c r="C42" s="35">
        <v>4950.5910000000003</v>
      </c>
      <c r="D42" s="103">
        <f t="shared" si="2"/>
        <v>0.14350165465092954</v>
      </c>
    </row>
    <row r="43" spans="1:4" ht="12.75" customHeight="1" x14ac:dyDescent="0.25">
      <c r="A43" s="85">
        <f t="shared" si="1"/>
        <v>1987</v>
      </c>
      <c r="B43" s="128">
        <v>686.22799999999995</v>
      </c>
      <c r="C43" s="35">
        <v>5039.4780000000001</v>
      </c>
      <c r="D43" s="103">
        <f t="shared" si="2"/>
        <v>0.13617045257465157</v>
      </c>
    </row>
    <row r="44" spans="1:4" ht="12.75" customHeight="1" x14ac:dyDescent="0.25">
      <c r="A44" s="85">
        <f t="shared" si="1"/>
        <v>1988</v>
      </c>
      <c r="B44" s="128">
        <v>689.02700000000004</v>
      </c>
      <c r="C44" s="35">
        <v>5129.1130000000003</v>
      </c>
      <c r="D44" s="103">
        <f t="shared" si="2"/>
        <v>0.13433648274077797</v>
      </c>
    </row>
    <row r="45" spans="1:4" ht="12.75" customHeight="1" x14ac:dyDescent="0.25">
      <c r="A45" s="85">
        <f t="shared" si="1"/>
        <v>1989</v>
      </c>
      <c r="B45" s="128">
        <v>696.66499999999996</v>
      </c>
      <c r="C45" s="35">
        <v>5218.375</v>
      </c>
      <c r="D45" s="103">
        <f t="shared" si="2"/>
        <v>0.1335022875895274</v>
      </c>
    </row>
    <row r="46" spans="1:4" ht="12.75" customHeight="1" x14ac:dyDescent="0.25">
      <c r="A46" s="85">
        <f t="shared" si="1"/>
        <v>1990</v>
      </c>
      <c r="B46" s="128">
        <v>693.31799999999998</v>
      </c>
      <c r="C46" s="35">
        <v>5306.4250000000002</v>
      </c>
      <c r="D46" s="103">
        <f t="shared" si="2"/>
        <v>0.13065632699981625</v>
      </c>
    </row>
    <row r="47" spans="1:4" ht="12.75" customHeight="1" x14ac:dyDescent="0.25">
      <c r="A47" s="85">
        <f t="shared" si="1"/>
        <v>1991</v>
      </c>
      <c r="B47" s="128">
        <v>691.553</v>
      </c>
      <c r="C47" s="35">
        <v>5392.9390000000003</v>
      </c>
      <c r="D47" s="103">
        <f t="shared" si="2"/>
        <v>0.12823304695269128</v>
      </c>
    </row>
    <row r="48" spans="1:4" ht="12.75" customHeight="1" x14ac:dyDescent="0.25">
      <c r="A48" s="85">
        <f t="shared" si="1"/>
        <v>1992</v>
      </c>
      <c r="B48" s="128">
        <v>692.97500000000002</v>
      </c>
      <c r="C48" s="35">
        <v>5478.009</v>
      </c>
      <c r="D48" s="103">
        <f t="shared" si="2"/>
        <v>0.12650125255361938</v>
      </c>
    </row>
    <row r="49" spans="1:4" ht="12.75" customHeight="1" x14ac:dyDescent="0.25">
      <c r="A49" s="85">
        <f t="shared" si="1"/>
        <v>1993</v>
      </c>
      <c r="B49" s="128">
        <v>681.97500000000002</v>
      </c>
      <c r="C49" s="35">
        <v>5561.7439999999997</v>
      </c>
      <c r="D49" s="103">
        <f t="shared" si="2"/>
        <v>0.12261891234116494</v>
      </c>
    </row>
    <row r="50" spans="1:4" ht="12.75" customHeight="1" x14ac:dyDescent="0.25">
      <c r="A50" s="85">
        <f t="shared" si="1"/>
        <v>1994</v>
      </c>
      <c r="B50" s="128">
        <v>681.98900000000003</v>
      </c>
      <c r="C50" s="35">
        <v>5644.4160000000002</v>
      </c>
      <c r="D50" s="103">
        <f t="shared" si="2"/>
        <v>0.12082543171871103</v>
      </c>
    </row>
    <row r="51" spans="1:4" ht="12.75" customHeight="1" x14ac:dyDescent="0.25">
      <c r="A51" s="85">
        <f t="shared" si="1"/>
        <v>1995</v>
      </c>
      <c r="B51" s="128">
        <v>676.05100000000004</v>
      </c>
      <c r="C51" s="35">
        <v>5726.2389999999996</v>
      </c>
      <c r="D51" s="103">
        <f t="shared" si="2"/>
        <v>0.11806196004043842</v>
      </c>
    </row>
    <row r="52" spans="1:4" ht="12.75" customHeight="1" x14ac:dyDescent="0.25">
      <c r="A52" s="85">
        <f t="shared" si="1"/>
        <v>1996</v>
      </c>
      <c r="B52" s="128">
        <v>696.71900000000005</v>
      </c>
      <c r="C52" s="35">
        <v>5807.2120000000004</v>
      </c>
      <c r="D52" s="103">
        <f t="shared" si="2"/>
        <v>0.11997478308007353</v>
      </c>
    </row>
    <row r="53" spans="1:4" ht="12.75" customHeight="1" x14ac:dyDescent="0.25">
      <c r="A53" s="85">
        <f t="shared" si="1"/>
        <v>1997</v>
      </c>
      <c r="B53" s="128">
        <v>687.57299999999998</v>
      </c>
      <c r="C53" s="35">
        <v>5887.26</v>
      </c>
      <c r="D53" s="103">
        <f t="shared" si="2"/>
        <v>0.11678998379551778</v>
      </c>
    </row>
    <row r="54" spans="1:4" ht="12.75" customHeight="1" x14ac:dyDescent="0.25">
      <c r="A54" s="85">
        <f t="shared" si="1"/>
        <v>1998</v>
      </c>
      <c r="B54" s="128">
        <v>674.15200000000004</v>
      </c>
      <c r="C54" s="35">
        <v>5966.4650000000001</v>
      </c>
      <c r="D54" s="103">
        <f t="shared" si="2"/>
        <v>0.11299018765718059</v>
      </c>
    </row>
    <row r="55" spans="1:4" ht="12.75" customHeight="1" x14ac:dyDescent="0.25">
      <c r="A55" s="85">
        <f t="shared" si="1"/>
        <v>1999</v>
      </c>
      <c r="B55" s="128">
        <v>662.90099999999995</v>
      </c>
      <c r="C55" s="35">
        <v>6044.9309999999996</v>
      </c>
      <c r="D55" s="103">
        <f t="shared" si="2"/>
        <v>0.10966229391203969</v>
      </c>
    </row>
    <row r="56" spans="1:4" ht="12.75" customHeight="1" x14ac:dyDescent="0.25">
      <c r="A56" s="85">
        <f t="shared" si="1"/>
        <v>2000</v>
      </c>
      <c r="B56" s="128">
        <v>662.85900000000004</v>
      </c>
      <c r="C56" s="35">
        <v>6122.77</v>
      </c>
      <c r="D56" s="103">
        <f t="shared" si="2"/>
        <v>0.10826129349951084</v>
      </c>
    </row>
    <row r="57" spans="1:4" ht="12.75" customHeight="1" x14ac:dyDescent="0.25">
      <c r="A57" s="85">
        <f t="shared" si="1"/>
        <v>2001</v>
      </c>
      <c r="B57" s="128">
        <v>665.18</v>
      </c>
      <c r="C57" s="35">
        <v>6200.0029999999997</v>
      </c>
      <c r="D57" s="103">
        <f t="shared" si="2"/>
        <v>0.10728704486110732</v>
      </c>
    </row>
    <row r="58" spans="1:4" ht="12.75" customHeight="1" x14ac:dyDescent="0.25">
      <c r="A58" s="85">
        <f t="shared" si="1"/>
        <v>2002</v>
      </c>
      <c r="B58" s="128">
        <v>650.49900000000002</v>
      </c>
      <c r="C58" s="35">
        <v>6276.7219999999998</v>
      </c>
      <c r="D58" s="103">
        <f t="shared" si="2"/>
        <v>0.10363673904945926</v>
      </c>
    </row>
    <row r="59" spans="1:4" ht="12.75" customHeight="1" x14ac:dyDescent="0.25">
      <c r="A59" s="85">
        <f t="shared" si="1"/>
        <v>2003</v>
      </c>
      <c r="B59" s="128">
        <v>661.22400000000005</v>
      </c>
      <c r="C59" s="35">
        <v>6353.1959999999999</v>
      </c>
      <c r="D59" s="103">
        <f t="shared" si="2"/>
        <v>0.10407738089616629</v>
      </c>
    </row>
    <row r="60" spans="1:4" ht="12.75" customHeight="1" x14ac:dyDescent="0.25">
      <c r="A60" s="85">
        <f t="shared" si="1"/>
        <v>2004</v>
      </c>
      <c r="B60" s="128">
        <v>667.50300000000004</v>
      </c>
      <c r="C60" s="35">
        <v>6429.7579999999998</v>
      </c>
      <c r="D60" s="103">
        <f t="shared" si="2"/>
        <v>0.10381463812479413</v>
      </c>
    </row>
    <row r="61" spans="1:4" ht="12.75" customHeight="1" x14ac:dyDescent="0.25">
      <c r="A61" s="85">
        <f t="shared" si="1"/>
        <v>2005</v>
      </c>
      <c r="B61" s="128">
        <v>672.78099999999995</v>
      </c>
      <c r="C61" s="35">
        <v>6506.6490000000003</v>
      </c>
      <c r="D61" s="103">
        <f t="shared" si="2"/>
        <v>0.10339900000753074</v>
      </c>
    </row>
    <row r="62" spans="1:4" ht="12.75" customHeight="1" x14ac:dyDescent="0.25">
      <c r="A62" s="85">
        <f t="shared" si="1"/>
        <v>2006</v>
      </c>
      <c r="B62" s="128">
        <v>670.80799999999999</v>
      </c>
      <c r="C62" s="35">
        <v>6583.9589999999998</v>
      </c>
      <c r="D62" s="103">
        <f t="shared" si="2"/>
        <v>0.10188520311259533</v>
      </c>
    </row>
    <row r="63" spans="1:4" ht="12.75" customHeight="1" x14ac:dyDescent="0.25">
      <c r="A63" s="85">
        <f t="shared" si="1"/>
        <v>2007</v>
      </c>
      <c r="B63" s="128">
        <v>688.28899999999999</v>
      </c>
      <c r="C63" s="35">
        <v>6661.6369999999997</v>
      </c>
      <c r="D63" s="103">
        <f t="shared" si="2"/>
        <v>0.10332130075535488</v>
      </c>
    </row>
    <row r="64" spans="1:4" ht="12.75" customHeight="1" x14ac:dyDescent="0.25">
      <c r="A64" s="85">
        <v>2008</v>
      </c>
      <c r="B64" s="128">
        <v>695.06100000000004</v>
      </c>
      <c r="C64" s="35">
        <v>6739.61</v>
      </c>
      <c r="D64" s="103">
        <f t="shared" si="2"/>
        <v>0.10313074495408489</v>
      </c>
    </row>
    <row r="65" spans="1:7" ht="12.75" customHeight="1" x14ac:dyDescent="0.25">
      <c r="A65" s="85">
        <v>2009</v>
      </c>
      <c r="B65" s="128">
        <v>687.84500000000003</v>
      </c>
      <c r="C65" s="35">
        <v>6817.7370000000001</v>
      </c>
      <c r="D65" s="103">
        <f t="shared" si="2"/>
        <v>0.10089051543056003</v>
      </c>
    </row>
    <row r="66" spans="1:7" ht="12.75" customHeight="1" x14ac:dyDescent="0.25">
      <c r="A66" s="85">
        <v>2010</v>
      </c>
      <c r="B66" s="128">
        <v>679.226</v>
      </c>
      <c r="C66" s="35">
        <v>6895.8890000000001</v>
      </c>
      <c r="D66" s="103">
        <f t="shared" si="2"/>
        <v>9.8497235091806148E-2</v>
      </c>
    </row>
    <row r="67" spans="1:7" ht="12.75" customHeight="1" x14ac:dyDescent="0.25">
      <c r="A67" s="84">
        <v>2011</v>
      </c>
      <c r="B67" s="129">
        <v>691.65599999999995</v>
      </c>
      <c r="C67" s="96">
        <v>6974.0360000000001</v>
      </c>
      <c r="D67" s="105">
        <f t="shared" si="2"/>
        <v>9.9175857423162136E-2</v>
      </c>
    </row>
    <row r="68" spans="1:7" ht="12.75" customHeight="1" x14ac:dyDescent="0.25">
      <c r="B68" s="106"/>
    </row>
    <row r="69" spans="1:7" ht="12.75" customHeight="1" x14ac:dyDescent="0.25">
      <c r="A69" s="266" t="s">
        <v>181</v>
      </c>
      <c r="B69" s="266"/>
      <c r="C69" s="266"/>
      <c r="D69" s="266"/>
      <c r="E69" s="130"/>
    </row>
    <row r="70" spans="1:7" ht="12.75" customHeight="1" x14ac:dyDescent="0.25">
      <c r="A70" s="266"/>
      <c r="B70" s="266"/>
      <c r="C70" s="266"/>
      <c r="D70" s="266"/>
      <c r="E70" s="130"/>
    </row>
    <row r="71" spans="1:7" ht="12.75" customHeight="1" x14ac:dyDescent="0.25">
      <c r="A71" s="266"/>
      <c r="B71" s="266"/>
      <c r="C71" s="266"/>
      <c r="D71" s="266"/>
      <c r="E71" s="130"/>
    </row>
    <row r="72" spans="1:7" ht="12.75" customHeight="1" x14ac:dyDescent="0.25">
      <c r="A72" s="266"/>
      <c r="B72" s="266"/>
      <c r="C72" s="266"/>
      <c r="D72" s="266"/>
      <c r="E72" s="130"/>
    </row>
    <row r="73" spans="1:7" ht="12.75" customHeight="1" x14ac:dyDescent="0.25">
      <c r="A73" s="266"/>
      <c r="B73" s="266"/>
      <c r="C73" s="266"/>
      <c r="D73" s="266"/>
      <c r="E73" s="130"/>
    </row>
    <row r="74" spans="1:7" x14ac:dyDescent="0.25">
      <c r="A74" s="186"/>
      <c r="B74" s="186"/>
      <c r="C74" s="186"/>
      <c r="D74" s="186"/>
      <c r="E74" s="130"/>
    </row>
    <row r="75" spans="1:7" x14ac:dyDescent="0.25">
      <c r="A75" s="259" t="s">
        <v>164</v>
      </c>
      <c r="B75" s="259"/>
      <c r="C75" s="259"/>
      <c r="D75" s="259"/>
    </row>
    <row r="76" spans="1:7" x14ac:dyDescent="0.25">
      <c r="A76" s="259"/>
      <c r="B76" s="259"/>
      <c r="C76" s="259"/>
      <c r="D76" s="259"/>
    </row>
    <row r="77" spans="1:7" ht="15" customHeight="1" x14ac:dyDescent="0.25">
      <c r="A77" s="259"/>
      <c r="B77" s="259"/>
      <c r="C77" s="259"/>
      <c r="D77" s="259"/>
      <c r="E77" s="189"/>
      <c r="F77" s="189"/>
      <c r="G77" s="189"/>
    </row>
    <row r="78" spans="1:7" x14ac:dyDescent="0.25">
      <c r="A78" s="189"/>
      <c r="B78" s="189"/>
      <c r="C78" s="189"/>
      <c r="D78" s="189"/>
      <c r="E78" s="189"/>
      <c r="F78" s="189"/>
      <c r="G78" s="189"/>
    </row>
    <row r="79" spans="1:7" x14ac:dyDescent="0.25">
      <c r="A79" s="189"/>
      <c r="B79" s="189"/>
      <c r="C79" s="189"/>
      <c r="D79" s="189"/>
      <c r="E79" s="189"/>
      <c r="F79" s="189"/>
      <c r="G79" s="189"/>
    </row>
  </sheetData>
  <mergeCells count="2">
    <mergeCell ref="A69:D73"/>
    <mergeCell ref="A75:D77"/>
  </mergeCells>
  <phoneticPr fontId="68" type="noConversion"/>
  <pageMargins left="0.7" right="0.7" top="0.75" bottom="0.75" header="0.3" footer="0.3"/>
  <pageSetup scale="72" orientation="portrait"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F64"/>
  <sheetViews>
    <sheetView zoomScaleNormal="100" zoomScaleSheetLayoutView="100" workbookViewId="0"/>
  </sheetViews>
  <sheetFormatPr defaultColWidth="8.85546875" defaultRowHeight="12.75" x14ac:dyDescent="0.25"/>
  <cols>
    <col min="1" max="1" width="8.85546875" style="53"/>
    <col min="2" max="5" width="14.42578125" style="53" customWidth="1"/>
    <col min="6" max="6" width="17.42578125" style="53" customWidth="1"/>
    <col min="7" max="16384" width="8.85546875" style="53"/>
  </cols>
  <sheetData>
    <row r="1" spans="1:6" s="31" customFormat="1" x14ac:dyDescent="0.25">
      <c r="A1" s="24" t="s">
        <v>73</v>
      </c>
    </row>
    <row r="2" spans="1:6" s="31" customFormat="1" x14ac:dyDescent="0.25"/>
    <row r="3" spans="1:6" s="31" customFormat="1" ht="30.75" customHeight="1" x14ac:dyDescent="0.2">
      <c r="A3" s="191" t="s">
        <v>51</v>
      </c>
      <c r="B3" s="192" t="s">
        <v>59</v>
      </c>
      <c r="C3" s="192" t="s">
        <v>52</v>
      </c>
      <c r="D3" s="193" t="s">
        <v>74</v>
      </c>
      <c r="E3" s="193" t="s">
        <v>75</v>
      </c>
      <c r="F3" s="193" t="s">
        <v>76</v>
      </c>
    </row>
    <row r="4" spans="1:6" s="31" customFormat="1" x14ac:dyDescent="0.25">
      <c r="A4" s="94"/>
      <c r="B4" s="267" t="s">
        <v>54</v>
      </c>
      <c r="C4" s="267"/>
      <c r="D4" s="267"/>
      <c r="E4" s="267"/>
      <c r="F4" s="194" t="s">
        <v>77</v>
      </c>
    </row>
    <row r="5" spans="1:6" s="31" customFormat="1" x14ac:dyDescent="0.25">
      <c r="A5" s="94"/>
      <c r="B5" s="134"/>
      <c r="C5" s="134"/>
      <c r="D5" s="134"/>
      <c r="E5" s="134"/>
      <c r="F5" s="134"/>
    </row>
    <row r="6" spans="1:6" s="31" customFormat="1" ht="12.75" customHeight="1" x14ac:dyDescent="0.25">
      <c r="A6" s="94">
        <v>1960</v>
      </c>
      <c r="B6" s="34">
        <v>823.55100000000004</v>
      </c>
      <c r="C6" s="35">
        <v>815.24699999999996</v>
      </c>
      <c r="D6" s="35">
        <f>71289/(1000)</f>
        <v>71.289000000000001</v>
      </c>
      <c r="E6" s="35">
        <f>75816/(1000)</f>
        <v>75.816000000000003</v>
      </c>
      <c r="F6" s="120">
        <f>(D6/C6)*100</f>
        <v>8.7444664009803166</v>
      </c>
    </row>
    <row r="7" spans="1:6" s="31" customFormat="1" x14ac:dyDescent="0.25">
      <c r="A7" s="94">
        <v>1961</v>
      </c>
      <c r="B7" s="34">
        <v>799.50800000000004</v>
      </c>
      <c r="C7" s="35">
        <v>816.702</v>
      </c>
      <c r="D7" s="35">
        <f>82999/(1000)</f>
        <v>82.998999999999995</v>
      </c>
      <c r="E7" s="35">
        <f>87155/(1000)</f>
        <v>87.155000000000001</v>
      </c>
      <c r="F7" s="120">
        <f t="shared" ref="F7:F57" si="0">(D7/C7)*100</f>
        <v>10.162703164679405</v>
      </c>
    </row>
    <row r="8" spans="1:6" s="31" customFormat="1" x14ac:dyDescent="0.25">
      <c r="A8" s="94">
        <v>1962</v>
      </c>
      <c r="B8" s="34">
        <v>850.44500000000005</v>
      </c>
      <c r="C8" s="35">
        <v>837.71600000000001</v>
      </c>
      <c r="D8" s="35">
        <f>81225/(1000)</f>
        <v>81.224999999999994</v>
      </c>
      <c r="E8" s="35">
        <f>86138/(1000)</f>
        <v>86.138000000000005</v>
      </c>
      <c r="F8" s="120">
        <f t="shared" si="0"/>
        <v>9.6960067612412786</v>
      </c>
    </row>
    <row r="9" spans="1:6" x14ac:dyDescent="0.25">
      <c r="A9" s="94">
        <v>1963</v>
      </c>
      <c r="B9" s="34">
        <v>857.73800000000006</v>
      </c>
      <c r="C9" s="35">
        <v>852.07299999999998</v>
      </c>
      <c r="D9" s="35">
        <f>99593/(1000)</f>
        <v>99.593000000000004</v>
      </c>
      <c r="E9" s="35">
        <f>102407/(1000)</f>
        <v>102.407</v>
      </c>
      <c r="F9" s="120">
        <f t="shared" si="0"/>
        <v>11.688317784978517</v>
      </c>
    </row>
    <row r="10" spans="1:6" x14ac:dyDescent="0.25">
      <c r="A10" s="94">
        <v>1964</v>
      </c>
      <c r="B10" s="34">
        <v>906.18399999999997</v>
      </c>
      <c r="C10" s="35">
        <v>895.76400000000001</v>
      </c>
      <c r="D10" s="35">
        <f>91313/(1000)</f>
        <v>91.313000000000002</v>
      </c>
      <c r="E10" s="35">
        <f>100606/(1000)</f>
        <v>100.60599999999999</v>
      </c>
      <c r="F10" s="120">
        <f t="shared" si="0"/>
        <v>10.19386802773945</v>
      </c>
    </row>
    <row r="11" spans="1:6" x14ac:dyDescent="0.25">
      <c r="A11" s="94">
        <v>1965</v>
      </c>
      <c r="B11" s="34">
        <v>904.60699999999997</v>
      </c>
      <c r="C11" s="35">
        <v>931.98500000000001</v>
      </c>
      <c r="D11" s="35">
        <f>109001/(1000)</f>
        <v>109.001</v>
      </c>
      <c r="E11" s="35">
        <f>116255/(1000)</f>
        <v>116.255</v>
      </c>
      <c r="F11" s="120">
        <f t="shared" si="0"/>
        <v>11.695574499589586</v>
      </c>
    </row>
    <row r="12" spans="1:6" x14ac:dyDescent="0.25">
      <c r="A12" s="94">
        <v>1966</v>
      </c>
      <c r="B12" s="34">
        <v>988.46400000000006</v>
      </c>
      <c r="C12" s="35">
        <v>956.524</v>
      </c>
      <c r="D12" s="35">
        <f>108218/(1000)</f>
        <v>108.218</v>
      </c>
      <c r="E12" s="35">
        <f>109825/(1000)</f>
        <v>109.825</v>
      </c>
      <c r="F12" s="120">
        <f t="shared" si="0"/>
        <v>11.31367325859048</v>
      </c>
    </row>
    <row r="13" spans="1:6" x14ac:dyDescent="0.25">
      <c r="A13" s="94">
        <v>1967</v>
      </c>
      <c r="B13" s="34">
        <v>1014.222</v>
      </c>
      <c r="C13" s="35">
        <v>987.53499999999997</v>
      </c>
      <c r="D13" s="35">
        <f>102085/(1000)</f>
        <v>102.08499999999999</v>
      </c>
      <c r="E13" s="35">
        <f>104930/(1000)</f>
        <v>104.93</v>
      </c>
      <c r="F13" s="120">
        <f t="shared" si="0"/>
        <v>10.337355131716851</v>
      </c>
    </row>
    <row r="14" spans="1:6" x14ac:dyDescent="0.25">
      <c r="A14" s="94">
        <v>1968</v>
      </c>
      <c r="B14" s="34">
        <v>1052.4590000000001</v>
      </c>
      <c r="C14" s="35">
        <v>1019.986</v>
      </c>
      <c r="D14" s="35">
        <f>96221/(1000)</f>
        <v>96.221000000000004</v>
      </c>
      <c r="E14" s="35">
        <f>98339/(1000)</f>
        <v>98.338999999999999</v>
      </c>
      <c r="F14" s="120">
        <f t="shared" si="0"/>
        <v>9.4335608527960186</v>
      </c>
    </row>
    <row r="15" spans="1:6" x14ac:dyDescent="0.25">
      <c r="A15" s="94">
        <v>1969</v>
      </c>
      <c r="B15" s="34">
        <v>1063.107</v>
      </c>
      <c r="C15" s="35">
        <v>1068.7059999999999</v>
      </c>
      <c r="D15" s="35">
        <f>101636/(1000)</f>
        <v>101.636</v>
      </c>
      <c r="E15" s="35">
        <f>111927/(1000)</f>
        <v>111.92700000000001</v>
      </c>
      <c r="F15" s="120">
        <f t="shared" si="0"/>
        <v>9.5101927003310553</v>
      </c>
    </row>
    <row r="16" spans="1:6" x14ac:dyDescent="0.25">
      <c r="A16" s="94">
        <v>1970</v>
      </c>
      <c r="B16" s="34">
        <v>1078.7059999999999</v>
      </c>
      <c r="C16" s="35">
        <v>1107.951</v>
      </c>
      <c r="D16" s="35">
        <f>113573/(1000)</f>
        <v>113.57299999999999</v>
      </c>
      <c r="E16" s="35">
        <f>119226/(1000)</f>
        <v>119.226</v>
      </c>
      <c r="F16" s="120">
        <f t="shared" si="0"/>
        <v>10.25072408436835</v>
      </c>
    </row>
    <row r="17" spans="1:6" x14ac:dyDescent="0.25">
      <c r="A17" s="94">
        <v>1971</v>
      </c>
      <c r="B17" s="34">
        <v>1177.258</v>
      </c>
      <c r="C17" s="35">
        <v>1149.9739999999999</v>
      </c>
      <c r="D17" s="35">
        <f>120014/(1000)</f>
        <v>120.014</v>
      </c>
      <c r="E17" s="35">
        <f>122656/(1000)</f>
        <v>122.65600000000001</v>
      </c>
      <c r="F17" s="120">
        <f t="shared" si="0"/>
        <v>10.43623594968234</v>
      </c>
    </row>
    <row r="18" spans="1:6" x14ac:dyDescent="0.25">
      <c r="A18" s="94">
        <v>1972</v>
      </c>
      <c r="B18" s="34">
        <v>1140.6099999999999</v>
      </c>
      <c r="C18" s="35">
        <v>1173.6210000000001</v>
      </c>
      <c r="D18" s="35">
        <f>133317/(1000)</f>
        <v>133.31700000000001</v>
      </c>
      <c r="E18" s="35">
        <f>137556/(1000)</f>
        <v>137.55600000000001</v>
      </c>
      <c r="F18" s="120">
        <f t="shared" si="0"/>
        <v>11.359459314378322</v>
      </c>
    </row>
    <row r="19" spans="1:6" x14ac:dyDescent="0.25">
      <c r="A19" s="94">
        <v>1973</v>
      </c>
      <c r="B19" s="34">
        <v>1252.9549999999999</v>
      </c>
      <c r="C19" s="35">
        <v>1229.8109999999999</v>
      </c>
      <c r="D19" s="35">
        <f>131688/(1000)</f>
        <v>131.68799999999999</v>
      </c>
      <c r="E19" s="35">
        <f>143329/(1000)</f>
        <v>143.32900000000001</v>
      </c>
      <c r="F19" s="120">
        <f t="shared" si="0"/>
        <v>10.707986837001783</v>
      </c>
    </row>
    <row r="20" spans="1:6" x14ac:dyDescent="0.25">
      <c r="A20" s="94">
        <v>1974</v>
      </c>
      <c r="B20" s="34">
        <v>1203.498</v>
      </c>
      <c r="C20" s="35">
        <v>1190.4639999999999</v>
      </c>
      <c r="D20" s="35">
        <f>123703/(1000)</f>
        <v>123.703</v>
      </c>
      <c r="E20" s="35">
        <f>129584/(1000)</f>
        <v>129.584</v>
      </c>
      <c r="F20" s="120">
        <f t="shared" si="0"/>
        <v>10.391158405462072</v>
      </c>
    </row>
    <row r="21" spans="1:6" x14ac:dyDescent="0.25">
      <c r="A21" s="94">
        <v>1975</v>
      </c>
      <c r="B21" s="34">
        <v>1236.5350000000001</v>
      </c>
      <c r="C21" s="35">
        <v>1211.8340000000001</v>
      </c>
      <c r="D21" s="35">
        <f>147577/(1000)</f>
        <v>147.577</v>
      </c>
      <c r="E21" s="35">
        <f>152283/(1000)</f>
        <v>152.28299999999999</v>
      </c>
      <c r="F21" s="120">
        <f t="shared" si="0"/>
        <v>12.177988074274198</v>
      </c>
    </row>
    <row r="22" spans="1:6" x14ac:dyDescent="0.25">
      <c r="A22" s="94">
        <v>1976</v>
      </c>
      <c r="B22" s="34">
        <v>1341.7529999999999</v>
      </c>
      <c r="C22" s="35">
        <v>1272.7629999999999</v>
      </c>
      <c r="D22" s="35">
        <f>145470/(1000)</f>
        <v>145.47</v>
      </c>
      <c r="E22" s="35">
        <f>153442/(1000)</f>
        <v>153.44200000000001</v>
      </c>
      <c r="F22" s="120">
        <f t="shared" si="0"/>
        <v>11.429464872878926</v>
      </c>
    </row>
    <row r="23" spans="1:6" x14ac:dyDescent="0.25">
      <c r="A23" s="94">
        <v>1977</v>
      </c>
      <c r="B23" s="34">
        <v>1318.999</v>
      </c>
      <c r="C23" s="35">
        <v>1319.4369999999999</v>
      </c>
      <c r="D23" s="35">
        <f>159011/(1000)</f>
        <v>159.011</v>
      </c>
      <c r="E23" s="35">
        <f>160544/(1000)</f>
        <v>160.54400000000001</v>
      </c>
      <c r="F23" s="120">
        <f t="shared" si="0"/>
        <v>12.051427995425321</v>
      </c>
    </row>
    <row r="24" spans="1:6" x14ac:dyDescent="0.25">
      <c r="A24" s="94">
        <v>1978</v>
      </c>
      <c r="B24" s="34">
        <v>1445.1420000000001</v>
      </c>
      <c r="C24" s="35">
        <v>1380.0640000000001</v>
      </c>
      <c r="D24" s="35">
        <f>166705/(1000)</f>
        <v>166.70500000000001</v>
      </c>
      <c r="E24" s="35">
        <f>176739/(1000)</f>
        <v>176.739</v>
      </c>
      <c r="F24" s="120">
        <f t="shared" si="0"/>
        <v>12.07951225450414</v>
      </c>
    </row>
    <row r="25" spans="1:6" x14ac:dyDescent="0.25">
      <c r="A25" s="94">
        <v>1979</v>
      </c>
      <c r="B25" s="34">
        <v>1409.2349999999999</v>
      </c>
      <c r="C25" s="35">
        <v>1415.694</v>
      </c>
      <c r="D25" s="35">
        <f>195275/(1000)</f>
        <v>195.27500000000001</v>
      </c>
      <c r="E25" s="35">
        <f>194098/(1000)</f>
        <v>194.09800000000001</v>
      </c>
      <c r="F25" s="120">
        <f t="shared" si="0"/>
        <v>13.793588162413631</v>
      </c>
    </row>
    <row r="26" spans="1:6" x14ac:dyDescent="0.25">
      <c r="A26" s="94">
        <v>1980</v>
      </c>
      <c r="B26" s="34">
        <v>1429.2380000000001</v>
      </c>
      <c r="C26" s="35">
        <v>1439.934</v>
      </c>
      <c r="D26" s="35">
        <f>201503/(1000)</f>
        <v>201.50299999999999</v>
      </c>
      <c r="E26" s="35">
        <f>211993/(1000)</f>
        <v>211.99299999999999</v>
      </c>
      <c r="F26" s="120">
        <f t="shared" si="0"/>
        <v>13.993905276214047</v>
      </c>
    </row>
    <row r="27" spans="1:6" x14ac:dyDescent="0.25">
      <c r="A27" s="94">
        <v>1981</v>
      </c>
      <c r="B27" s="34">
        <v>1481.9079999999999</v>
      </c>
      <c r="C27" s="35">
        <v>1457.8040000000001</v>
      </c>
      <c r="D27" s="35">
        <f>209658/(1000)</f>
        <v>209.65799999999999</v>
      </c>
      <c r="E27" s="35">
        <f>210070/(1000)</f>
        <v>210.07</v>
      </c>
      <c r="F27" s="120">
        <f t="shared" si="0"/>
        <v>14.381768742574447</v>
      </c>
    </row>
    <row r="28" spans="1:6" x14ac:dyDescent="0.25">
      <c r="A28" s="94">
        <v>1982</v>
      </c>
      <c r="B28" s="34">
        <v>1532.992</v>
      </c>
      <c r="C28" s="35">
        <v>1474.6369999999999</v>
      </c>
      <c r="D28" s="35">
        <f>194761/(1000)</f>
        <v>194.761</v>
      </c>
      <c r="E28" s="35">
        <f>195872/(1000)</f>
        <v>195.87200000000001</v>
      </c>
      <c r="F28" s="120">
        <f t="shared" si="0"/>
        <v>13.207385953288844</v>
      </c>
    </row>
    <row r="29" spans="1:6" x14ac:dyDescent="0.25">
      <c r="A29" s="94">
        <v>1983</v>
      </c>
      <c r="B29" s="34">
        <v>1469.4390000000001</v>
      </c>
      <c r="C29" s="35">
        <v>1500.9179999999999</v>
      </c>
      <c r="D29" s="35">
        <f>196017/(1000)</f>
        <v>196.017</v>
      </c>
      <c r="E29" s="35">
        <f>205632/(1000)</f>
        <v>205.63200000000001</v>
      </c>
      <c r="F29" s="120">
        <f t="shared" si="0"/>
        <v>13.059807397872502</v>
      </c>
    </row>
    <row r="30" spans="1:6" x14ac:dyDescent="0.25">
      <c r="A30" s="94">
        <v>1984</v>
      </c>
      <c r="B30" s="34">
        <v>1631.7529999999999</v>
      </c>
      <c r="C30" s="35">
        <v>1548.9839999999999</v>
      </c>
      <c r="D30" s="35">
        <f>211270/(1000)</f>
        <v>211.27</v>
      </c>
      <c r="E30" s="35">
        <f>214212/(1000)</f>
        <v>214.21199999999999</v>
      </c>
      <c r="F30" s="120">
        <f t="shared" si="0"/>
        <v>13.639262897486354</v>
      </c>
    </row>
    <row r="31" spans="1:6" x14ac:dyDescent="0.25">
      <c r="A31" s="94">
        <v>1985</v>
      </c>
      <c r="B31" s="34">
        <v>1646.5070000000001</v>
      </c>
      <c r="C31" s="35">
        <v>1552.701</v>
      </c>
      <c r="D31" s="35">
        <f>172747/(1000)</f>
        <v>172.74700000000001</v>
      </c>
      <c r="E31" s="35">
        <f>175871/(1000)</f>
        <v>175.87100000000001</v>
      </c>
      <c r="F31" s="120">
        <f t="shared" si="0"/>
        <v>11.125580520654008</v>
      </c>
    </row>
    <row r="32" spans="1:6" x14ac:dyDescent="0.25">
      <c r="A32" s="94">
        <v>1986</v>
      </c>
      <c r="B32" s="34">
        <v>1664.0239999999999</v>
      </c>
      <c r="C32" s="35">
        <v>1601.375</v>
      </c>
      <c r="D32" s="35">
        <f>178452/(1000)</f>
        <v>178.452</v>
      </c>
      <c r="E32" s="35">
        <f>186958/(1000)</f>
        <v>186.958</v>
      </c>
      <c r="F32" s="120">
        <f t="shared" si="0"/>
        <v>11.143673405667005</v>
      </c>
    </row>
    <row r="33" spans="1:6" x14ac:dyDescent="0.25">
      <c r="A33" s="94">
        <v>1987</v>
      </c>
      <c r="B33" s="34">
        <v>1600.953</v>
      </c>
      <c r="C33" s="35">
        <v>1639.7170000000001</v>
      </c>
      <c r="D33" s="35">
        <f>209718/(1000)</f>
        <v>209.71799999999999</v>
      </c>
      <c r="E33" s="35">
        <f>212898/(1000)</f>
        <v>212.898</v>
      </c>
      <c r="F33" s="120">
        <f t="shared" si="0"/>
        <v>12.789889962719176</v>
      </c>
    </row>
    <row r="34" spans="1:6" x14ac:dyDescent="0.25">
      <c r="A34" s="94">
        <v>1988</v>
      </c>
      <c r="B34" s="34">
        <v>1550.2339999999999</v>
      </c>
      <c r="C34" s="35">
        <v>1620.4010000000001</v>
      </c>
      <c r="D34" s="35">
        <f>212145/(1000)</f>
        <v>212.14500000000001</v>
      </c>
      <c r="E34" s="35">
        <f>219414/(1000)</f>
        <v>219.41399999999999</v>
      </c>
      <c r="F34" s="120">
        <f t="shared" si="0"/>
        <v>13.092129664200405</v>
      </c>
    </row>
    <row r="35" spans="1:6" x14ac:dyDescent="0.25">
      <c r="A35" s="94">
        <v>1989</v>
      </c>
      <c r="B35" s="34">
        <v>1672.66</v>
      </c>
      <c r="C35" s="35">
        <v>1676.7260000000001</v>
      </c>
      <c r="D35" s="35">
        <f>212826/(1000)</f>
        <v>212.82599999999999</v>
      </c>
      <c r="E35" s="35">
        <f>218557/(1000)</f>
        <v>218.55699999999999</v>
      </c>
      <c r="F35" s="120">
        <f t="shared" si="0"/>
        <v>12.692950428394381</v>
      </c>
    </row>
    <row r="36" spans="1:6" x14ac:dyDescent="0.25">
      <c r="A36" s="94">
        <v>1990</v>
      </c>
      <c r="B36" s="34">
        <v>1769.019</v>
      </c>
      <c r="C36" s="35">
        <v>1706.972</v>
      </c>
      <c r="D36" s="35">
        <f>197796/(1000)</f>
        <v>197.79599999999999</v>
      </c>
      <c r="E36" s="35">
        <f>205656/(1000)</f>
        <v>205.65600000000001</v>
      </c>
      <c r="F36" s="120">
        <f t="shared" si="0"/>
        <v>11.587536292335198</v>
      </c>
    </row>
    <row r="37" spans="1:6" x14ac:dyDescent="0.25">
      <c r="A37" s="94">
        <v>1991</v>
      </c>
      <c r="B37" s="34">
        <v>1708.9780000000001</v>
      </c>
      <c r="C37" s="35">
        <v>1713.6079999999999</v>
      </c>
      <c r="D37" s="35">
        <f>213830/(1000)</f>
        <v>213.83</v>
      </c>
      <c r="E37" s="35">
        <f>218378/(1000)</f>
        <v>218.37799999999999</v>
      </c>
      <c r="F37" s="120">
        <f t="shared" si="0"/>
        <v>12.478349774277433</v>
      </c>
    </row>
    <row r="38" spans="1:6" x14ac:dyDescent="0.25">
      <c r="A38" s="94">
        <v>1992</v>
      </c>
      <c r="B38" s="34">
        <v>1785.5730000000001</v>
      </c>
      <c r="C38" s="35">
        <v>1736.066</v>
      </c>
      <c r="D38" s="35">
        <f>208567/(1000)</f>
        <v>208.56700000000001</v>
      </c>
      <c r="E38" s="35">
        <f>219052/(1000)</f>
        <v>219.05199999999999</v>
      </c>
      <c r="F38" s="120">
        <f t="shared" si="0"/>
        <v>12.01377136583517</v>
      </c>
    </row>
    <row r="39" spans="1:6" x14ac:dyDescent="0.25">
      <c r="A39" s="94">
        <v>1993</v>
      </c>
      <c r="B39" s="34">
        <v>1710.7819999999999</v>
      </c>
      <c r="C39" s="35">
        <v>1739.693</v>
      </c>
      <c r="D39" s="35">
        <f>198633/(1000)</f>
        <v>198.63300000000001</v>
      </c>
      <c r="E39" s="35">
        <f>207102/(1000)</f>
        <v>207.102</v>
      </c>
      <c r="F39" s="120">
        <f t="shared" si="0"/>
        <v>11.417704158147444</v>
      </c>
    </row>
    <row r="40" spans="1:6" x14ac:dyDescent="0.25">
      <c r="A40" s="94">
        <v>1994</v>
      </c>
      <c r="B40" s="34">
        <v>1756.6220000000001</v>
      </c>
      <c r="C40" s="35">
        <v>1762.289</v>
      </c>
      <c r="D40" s="35">
        <f>213562/(1000)</f>
        <v>213.56200000000001</v>
      </c>
      <c r="E40" s="35">
        <f>212775/(1000)</f>
        <v>212.77500000000001</v>
      </c>
      <c r="F40" s="120">
        <f t="shared" si="0"/>
        <v>12.118443683187037</v>
      </c>
    </row>
    <row r="41" spans="1:6" x14ac:dyDescent="0.25">
      <c r="A41" s="94">
        <v>1995</v>
      </c>
      <c r="B41" s="34">
        <v>1707.249</v>
      </c>
      <c r="C41" s="35">
        <v>1740.895</v>
      </c>
      <c r="D41" s="35">
        <f>204247/(1000)</f>
        <v>204.24700000000001</v>
      </c>
      <c r="E41" s="35">
        <f>213548/(1000)</f>
        <v>213.548</v>
      </c>
      <c r="F41" s="120">
        <f t="shared" si="0"/>
        <v>11.732298616516218</v>
      </c>
    </row>
    <row r="42" spans="1:6" x14ac:dyDescent="0.25">
      <c r="A42" s="94">
        <v>1996</v>
      </c>
      <c r="B42" s="34">
        <v>1871.9259999999999</v>
      </c>
      <c r="C42" s="35">
        <v>1808.8820000000001</v>
      </c>
      <c r="D42" s="35">
        <f>206252/(1000)</f>
        <v>206.25200000000001</v>
      </c>
      <c r="E42" s="35">
        <f>219513/(1000)</f>
        <v>219.51300000000001</v>
      </c>
      <c r="F42" s="120">
        <f t="shared" si="0"/>
        <v>11.402181015677087</v>
      </c>
    </row>
    <row r="43" spans="1:6" x14ac:dyDescent="0.25">
      <c r="A43" s="94">
        <v>1997</v>
      </c>
      <c r="B43" s="34">
        <v>1879.0260000000001</v>
      </c>
      <c r="C43" s="35">
        <v>1820.884</v>
      </c>
      <c r="D43" s="35">
        <f>213470/(1000)</f>
        <v>213.47</v>
      </c>
      <c r="E43" s="35">
        <f>217235/(1000)</f>
        <v>217.23500000000001</v>
      </c>
      <c r="F43" s="120">
        <f t="shared" si="0"/>
        <v>11.723426643322693</v>
      </c>
    </row>
    <row r="44" spans="1:6" x14ac:dyDescent="0.25">
      <c r="A44" s="94">
        <v>1998</v>
      </c>
      <c r="B44" s="34">
        <v>1876.807</v>
      </c>
      <c r="C44" s="35">
        <v>1835.3130000000001</v>
      </c>
      <c r="D44" s="35">
        <f>219352/(1000)</f>
        <v>219.352</v>
      </c>
      <c r="E44" s="35">
        <f>220734/(1000)</f>
        <v>220.73400000000001</v>
      </c>
      <c r="F44" s="120">
        <f t="shared" si="0"/>
        <v>11.951748829763641</v>
      </c>
    </row>
    <row r="45" spans="1:6" x14ac:dyDescent="0.25">
      <c r="A45" s="94">
        <v>1999</v>
      </c>
      <c r="B45" s="34">
        <v>1874.086</v>
      </c>
      <c r="C45" s="35">
        <v>1855.875</v>
      </c>
      <c r="D45" s="35">
        <f>228896/(1000)</f>
        <v>228.89599999999999</v>
      </c>
      <c r="E45" s="35">
        <f>241168/(1000)</f>
        <v>241.16800000000001</v>
      </c>
      <c r="F45" s="120">
        <f t="shared" si="0"/>
        <v>12.333589277295076</v>
      </c>
    </row>
    <row r="46" spans="1:6" x14ac:dyDescent="0.25">
      <c r="A46" s="94">
        <v>2000</v>
      </c>
      <c r="B46" s="34">
        <v>1846.008</v>
      </c>
      <c r="C46" s="35">
        <v>1861.1849999999999</v>
      </c>
      <c r="D46" s="35">
        <f>224000/(1000)</f>
        <v>224</v>
      </c>
      <c r="E46" s="35">
        <f>229864/(1000)</f>
        <v>229.864</v>
      </c>
      <c r="F46" s="120">
        <f t="shared" si="0"/>
        <v>12.035343074439135</v>
      </c>
    </row>
    <row r="47" spans="1:6" x14ac:dyDescent="0.25">
      <c r="A47" s="94">
        <v>2001</v>
      </c>
      <c r="B47" s="34">
        <v>1879.64</v>
      </c>
      <c r="C47" s="35">
        <v>1904.7660000000001</v>
      </c>
      <c r="D47" s="35">
        <f>230842/(1000)</f>
        <v>230.84200000000001</v>
      </c>
      <c r="E47" s="35">
        <f>234923/(1000)</f>
        <v>234.923</v>
      </c>
      <c r="F47" s="120">
        <f t="shared" si="0"/>
        <v>12.119178943765272</v>
      </c>
    </row>
    <row r="48" spans="1:6" x14ac:dyDescent="0.25">
      <c r="A48" s="94">
        <v>2002</v>
      </c>
      <c r="B48" s="34">
        <v>1821.443</v>
      </c>
      <c r="C48" s="35">
        <v>1909.4259999999999</v>
      </c>
      <c r="D48" s="35">
        <f>232187/(1000)</f>
        <v>232.18700000000001</v>
      </c>
      <c r="E48" s="35">
        <f>236568/(1000)</f>
        <v>236.56800000000001</v>
      </c>
      <c r="F48" s="120">
        <f t="shared" si="0"/>
        <v>12.160041813613097</v>
      </c>
    </row>
    <row r="49" spans="1:6" x14ac:dyDescent="0.25">
      <c r="A49" s="94">
        <v>2003</v>
      </c>
      <c r="B49" s="34">
        <v>1863.55</v>
      </c>
      <c r="C49" s="35">
        <v>1935.944</v>
      </c>
      <c r="D49" s="35">
        <f>227854/(1000)</f>
        <v>227.85400000000001</v>
      </c>
      <c r="E49" s="35">
        <f>239296/(1000)</f>
        <v>239.29599999999999</v>
      </c>
      <c r="F49" s="120">
        <f t="shared" si="0"/>
        <v>11.769658626489198</v>
      </c>
    </row>
    <row r="50" spans="1:6" x14ac:dyDescent="0.25">
      <c r="A50" s="94">
        <v>2004</v>
      </c>
      <c r="B50" s="34">
        <v>2043.1690000000001</v>
      </c>
      <c r="C50" s="35">
        <v>1989.5619999999999</v>
      </c>
      <c r="D50" s="35">
        <f>236682/(1000)</f>
        <v>236.68199999999999</v>
      </c>
      <c r="E50" s="35">
        <f>240670/(1000)</f>
        <v>240.67</v>
      </c>
      <c r="F50" s="120">
        <f t="shared" si="0"/>
        <v>11.896186195755648</v>
      </c>
    </row>
    <row r="51" spans="1:6" x14ac:dyDescent="0.25">
      <c r="A51" s="94">
        <v>2005</v>
      </c>
      <c r="B51" s="34">
        <v>2016.481</v>
      </c>
      <c r="C51" s="35">
        <v>2020.0309999999999</v>
      </c>
      <c r="D51" s="35">
        <f>244210/(1000)</f>
        <v>244.21</v>
      </c>
      <c r="E51" s="35">
        <f>254238/(1000)</f>
        <v>254.238</v>
      </c>
      <c r="F51" s="120">
        <f t="shared" si="0"/>
        <v>12.089418429717167</v>
      </c>
    </row>
    <row r="52" spans="1:6" x14ac:dyDescent="0.25">
      <c r="A52" s="94">
        <v>2006</v>
      </c>
      <c r="B52" s="34">
        <v>2004.74</v>
      </c>
      <c r="C52" s="35">
        <v>2044.9390000000001</v>
      </c>
      <c r="D52" s="35">
        <f>255486/(1000)</f>
        <v>255.48599999999999</v>
      </c>
      <c r="E52" s="35">
        <f>261113/(1000)</f>
        <v>261.113</v>
      </c>
      <c r="F52" s="120">
        <f t="shared" si="0"/>
        <v>12.493575602988646</v>
      </c>
    </row>
    <row r="53" spans="1:6" x14ac:dyDescent="0.25">
      <c r="A53" s="94">
        <v>2007</v>
      </c>
      <c r="B53" s="34">
        <v>2125.5680000000002</v>
      </c>
      <c r="C53" s="35">
        <v>2096.8209999999999</v>
      </c>
      <c r="D53" s="35">
        <f>270033/(1000)</f>
        <v>270.03300000000002</v>
      </c>
      <c r="E53" s="35">
        <f>275971/(1000)</f>
        <v>275.971</v>
      </c>
      <c r="F53" s="120">
        <f t="shared" si="0"/>
        <v>12.878209441816924</v>
      </c>
    </row>
    <row r="54" spans="1:6" x14ac:dyDescent="0.25">
      <c r="A54" s="94">
        <v>2008</v>
      </c>
      <c r="B54" s="34">
        <v>2244.1999999999998</v>
      </c>
      <c r="C54" s="35">
        <v>2151.7449999999999</v>
      </c>
      <c r="D54" s="35">
        <f>275993/(1000)</f>
        <v>275.99299999999999</v>
      </c>
      <c r="E54" s="35">
        <f>286551/(1000)</f>
        <v>286.55099999999999</v>
      </c>
      <c r="F54" s="120">
        <f t="shared" si="0"/>
        <v>12.826473397172993</v>
      </c>
    </row>
    <row r="55" spans="1:6" x14ac:dyDescent="0.25">
      <c r="A55" s="94">
        <v>2009</v>
      </c>
      <c r="B55" s="34">
        <v>2238.3649999999998</v>
      </c>
      <c r="C55" s="35">
        <v>2188.6849999999999</v>
      </c>
      <c r="D55" s="35">
        <f>277646/(1000)</f>
        <v>277.64600000000002</v>
      </c>
      <c r="E55" s="35">
        <f>291369/(1000)</f>
        <v>291.36900000000003</v>
      </c>
      <c r="F55" s="120">
        <f t="shared" si="0"/>
        <v>12.685516645839853</v>
      </c>
    </row>
    <row r="56" spans="1:6" x14ac:dyDescent="0.25">
      <c r="A56" s="94">
        <v>2010</v>
      </c>
      <c r="B56" s="34">
        <v>2197.1179999999999</v>
      </c>
      <c r="C56" s="35">
        <v>2226.9430000000002</v>
      </c>
      <c r="D56" s="35">
        <f>280336/(1000)</f>
        <v>280.33600000000001</v>
      </c>
      <c r="E56" s="35">
        <f>283617/(1000)</f>
        <v>283.61700000000002</v>
      </c>
      <c r="F56" s="120">
        <f t="shared" si="0"/>
        <v>12.588377879451787</v>
      </c>
    </row>
    <row r="57" spans="1:6" x14ac:dyDescent="0.25">
      <c r="A57" s="93">
        <v>2011</v>
      </c>
      <c r="B57" s="95">
        <v>2304.306</v>
      </c>
      <c r="C57" s="96">
        <v>2284.6329999999998</v>
      </c>
      <c r="D57" s="96">
        <f>297272/(1000)</f>
        <v>297.27199999999999</v>
      </c>
      <c r="E57" s="96">
        <f>311013/(1000)</f>
        <v>311.01299999999998</v>
      </c>
      <c r="F57" s="121">
        <f t="shared" si="0"/>
        <v>13.011805397190709</v>
      </c>
    </row>
    <row r="59" spans="1:6" ht="15" customHeight="1" x14ac:dyDescent="0.25">
      <c r="A59" s="268" t="s">
        <v>161</v>
      </c>
      <c r="B59" s="268"/>
      <c r="C59" s="268"/>
      <c r="D59" s="268"/>
      <c r="E59" s="268"/>
      <c r="F59" s="268"/>
    </row>
    <row r="60" spans="1:6" ht="15.75" customHeight="1" x14ac:dyDescent="0.25">
      <c r="A60" s="268"/>
      <c r="B60" s="268"/>
      <c r="C60" s="268"/>
      <c r="D60" s="268"/>
      <c r="E60" s="268"/>
      <c r="F60" s="268"/>
    </row>
    <row r="62" spans="1:6" ht="12.75" customHeight="1" x14ac:dyDescent="0.25">
      <c r="A62" s="259" t="s">
        <v>164</v>
      </c>
      <c r="B62" s="259"/>
      <c r="C62" s="259"/>
      <c r="D62" s="259"/>
      <c r="E62" s="259"/>
      <c r="F62" s="259"/>
    </row>
    <row r="63" spans="1:6" x14ac:dyDescent="0.25">
      <c r="A63" s="259"/>
      <c r="B63" s="259"/>
      <c r="C63" s="259"/>
      <c r="D63" s="259"/>
      <c r="E63" s="259"/>
      <c r="F63" s="259"/>
    </row>
    <row r="64" spans="1:6" x14ac:dyDescent="0.25">
      <c r="A64" s="259"/>
      <c r="B64" s="259"/>
      <c r="C64" s="259"/>
      <c r="D64" s="259"/>
      <c r="E64" s="259"/>
      <c r="F64" s="259"/>
    </row>
  </sheetData>
  <mergeCells count="3">
    <mergeCell ref="B4:E4"/>
    <mergeCell ref="A59:F60"/>
    <mergeCell ref="A62:F64"/>
  </mergeCells>
  <phoneticPr fontId="68" type="noConversion"/>
  <pageMargins left="0.7" right="0.7" top="0.75" bottom="0.75" header="0.3" footer="0.3"/>
  <pageSetup scale="84" orientation="portrait"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64"/>
  <sheetViews>
    <sheetView zoomScaleNormal="100" zoomScaleSheetLayoutView="100" workbookViewId="0"/>
  </sheetViews>
  <sheetFormatPr defaultColWidth="8.85546875" defaultRowHeight="12.75" x14ac:dyDescent="0.25"/>
  <cols>
    <col min="1" max="1" width="8.85546875" style="83"/>
    <col min="2" max="4" width="12.7109375" style="83" customWidth="1"/>
    <col min="5" max="257" width="8.85546875" style="83"/>
    <col min="258" max="258" width="14.42578125" style="83" bestFit="1" customWidth="1"/>
    <col min="259" max="259" width="16" style="83" bestFit="1" customWidth="1"/>
    <col min="260" max="260" width="15.28515625" style="83" bestFit="1" customWidth="1"/>
    <col min="261" max="513" width="8.85546875" style="83"/>
    <col min="514" max="514" width="14.42578125" style="83" bestFit="1" customWidth="1"/>
    <col min="515" max="515" width="16" style="83" bestFit="1" customWidth="1"/>
    <col min="516" max="516" width="15.28515625" style="83" bestFit="1" customWidth="1"/>
    <col min="517" max="769" width="8.85546875" style="83"/>
    <col min="770" max="770" width="14.42578125" style="83" bestFit="1" customWidth="1"/>
    <col min="771" max="771" width="16" style="83" bestFit="1" customWidth="1"/>
    <col min="772" max="772" width="15.28515625" style="83" bestFit="1" customWidth="1"/>
    <col min="773" max="1025" width="8.85546875" style="83"/>
    <col min="1026" max="1026" width="14.42578125" style="83" bestFit="1" customWidth="1"/>
    <col min="1027" max="1027" width="16" style="83" bestFit="1" customWidth="1"/>
    <col min="1028" max="1028" width="15.28515625" style="83" bestFit="1" customWidth="1"/>
    <col min="1029" max="1281" width="8.85546875" style="83"/>
    <col min="1282" max="1282" width="14.42578125" style="83" bestFit="1" customWidth="1"/>
    <col min="1283" max="1283" width="16" style="83" bestFit="1" customWidth="1"/>
    <col min="1284" max="1284" width="15.28515625" style="83" bestFit="1" customWidth="1"/>
    <col min="1285" max="1537" width="8.85546875" style="83"/>
    <col min="1538" max="1538" width="14.42578125" style="83" bestFit="1" customWidth="1"/>
    <col min="1539" max="1539" width="16" style="83" bestFit="1" customWidth="1"/>
    <col min="1540" max="1540" width="15.28515625" style="83" bestFit="1" customWidth="1"/>
    <col min="1541" max="1793" width="8.85546875" style="83"/>
    <col min="1794" max="1794" width="14.42578125" style="83" bestFit="1" customWidth="1"/>
    <col min="1795" max="1795" width="16" style="83" bestFit="1" customWidth="1"/>
    <col min="1796" max="1796" width="15.28515625" style="83" bestFit="1" customWidth="1"/>
    <col min="1797" max="2049" width="8.85546875" style="83"/>
    <col min="2050" max="2050" width="14.42578125" style="83" bestFit="1" customWidth="1"/>
    <col min="2051" max="2051" width="16" style="83" bestFit="1" customWidth="1"/>
    <col min="2052" max="2052" width="15.28515625" style="83" bestFit="1" customWidth="1"/>
    <col min="2053" max="2305" width="8.85546875" style="83"/>
    <col min="2306" max="2306" width="14.42578125" style="83" bestFit="1" customWidth="1"/>
    <col min="2307" max="2307" width="16" style="83" bestFit="1" customWidth="1"/>
    <col min="2308" max="2308" width="15.28515625" style="83" bestFit="1" customWidth="1"/>
    <col min="2309" max="2561" width="8.85546875" style="83"/>
    <col min="2562" max="2562" width="14.42578125" style="83" bestFit="1" customWidth="1"/>
    <col min="2563" max="2563" width="16" style="83" bestFit="1" customWidth="1"/>
    <col min="2564" max="2564" width="15.28515625" style="83" bestFit="1" customWidth="1"/>
    <col min="2565" max="2817" width="8.85546875" style="83"/>
    <col min="2818" max="2818" width="14.42578125" style="83" bestFit="1" customWidth="1"/>
    <col min="2819" max="2819" width="16" style="83" bestFit="1" customWidth="1"/>
    <col min="2820" max="2820" width="15.28515625" style="83" bestFit="1" customWidth="1"/>
    <col min="2821" max="3073" width="8.85546875" style="83"/>
    <col min="3074" max="3074" width="14.42578125" style="83" bestFit="1" customWidth="1"/>
    <col min="3075" max="3075" width="16" style="83" bestFit="1" customWidth="1"/>
    <col min="3076" max="3076" width="15.28515625" style="83" bestFit="1" customWidth="1"/>
    <col min="3077" max="3329" width="8.85546875" style="83"/>
    <col min="3330" max="3330" width="14.42578125" style="83" bestFit="1" customWidth="1"/>
    <col min="3331" max="3331" width="16" style="83" bestFit="1" customWidth="1"/>
    <col min="3332" max="3332" width="15.28515625" style="83" bestFit="1" customWidth="1"/>
    <col min="3333" max="3585" width="8.85546875" style="83"/>
    <col min="3586" max="3586" width="14.42578125" style="83" bestFit="1" customWidth="1"/>
    <col min="3587" max="3587" width="16" style="83" bestFit="1" customWidth="1"/>
    <col min="3588" max="3588" width="15.28515625" style="83" bestFit="1" customWidth="1"/>
    <col min="3589" max="3841" width="8.85546875" style="83"/>
    <col min="3842" max="3842" width="14.42578125" style="83" bestFit="1" customWidth="1"/>
    <col min="3843" max="3843" width="16" style="83" bestFit="1" customWidth="1"/>
    <col min="3844" max="3844" width="15.28515625" style="83" bestFit="1" customWidth="1"/>
    <col min="3845" max="4097" width="8.85546875" style="83"/>
    <col min="4098" max="4098" width="14.42578125" style="83" bestFit="1" customWidth="1"/>
    <col min="4099" max="4099" width="16" style="83" bestFit="1" customWidth="1"/>
    <col min="4100" max="4100" width="15.28515625" style="83" bestFit="1" customWidth="1"/>
    <col min="4101" max="4353" width="8.85546875" style="83"/>
    <col min="4354" max="4354" width="14.42578125" style="83" bestFit="1" customWidth="1"/>
    <col min="4355" max="4355" width="16" style="83" bestFit="1" customWidth="1"/>
    <col min="4356" max="4356" width="15.28515625" style="83" bestFit="1" customWidth="1"/>
    <col min="4357" max="4609" width="8.85546875" style="83"/>
    <col min="4610" max="4610" width="14.42578125" style="83" bestFit="1" customWidth="1"/>
    <col min="4611" max="4611" width="16" style="83" bestFit="1" customWidth="1"/>
    <col min="4612" max="4612" width="15.28515625" style="83" bestFit="1" customWidth="1"/>
    <col min="4613" max="4865" width="8.85546875" style="83"/>
    <col min="4866" max="4866" width="14.42578125" style="83" bestFit="1" customWidth="1"/>
    <col min="4867" max="4867" width="16" style="83" bestFit="1" customWidth="1"/>
    <col min="4868" max="4868" width="15.28515625" style="83" bestFit="1" customWidth="1"/>
    <col min="4869" max="5121" width="8.85546875" style="83"/>
    <col min="5122" max="5122" width="14.42578125" style="83" bestFit="1" customWidth="1"/>
    <col min="5123" max="5123" width="16" style="83" bestFit="1" customWidth="1"/>
    <col min="5124" max="5124" width="15.28515625" style="83" bestFit="1" customWidth="1"/>
    <col min="5125" max="5377" width="8.85546875" style="83"/>
    <col min="5378" max="5378" width="14.42578125" style="83" bestFit="1" customWidth="1"/>
    <col min="5379" max="5379" width="16" style="83" bestFit="1" customWidth="1"/>
    <col min="5380" max="5380" width="15.28515625" style="83" bestFit="1" customWidth="1"/>
    <col min="5381" max="5633" width="8.85546875" style="83"/>
    <col min="5634" max="5634" width="14.42578125" style="83" bestFit="1" customWidth="1"/>
    <col min="5635" max="5635" width="16" style="83" bestFit="1" customWidth="1"/>
    <col min="5636" max="5636" width="15.28515625" style="83" bestFit="1" customWidth="1"/>
    <col min="5637" max="5889" width="8.85546875" style="83"/>
    <col min="5890" max="5890" width="14.42578125" style="83" bestFit="1" customWidth="1"/>
    <col min="5891" max="5891" width="16" style="83" bestFit="1" customWidth="1"/>
    <col min="5892" max="5892" width="15.28515625" style="83" bestFit="1" customWidth="1"/>
    <col min="5893" max="6145" width="8.85546875" style="83"/>
    <col min="6146" max="6146" width="14.42578125" style="83" bestFit="1" customWidth="1"/>
    <col min="6147" max="6147" width="16" style="83" bestFit="1" customWidth="1"/>
    <col min="6148" max="6148" width="15.28515625" style="83" bestFit="1" customWidth="1"/>
    <col min="6149" max="6401" width="8.85546875" style="83"/>
    <col min="6402" max="6402" width="14.42578125" style="83" bestFit="1" customWidth="1"/>
    <col min="6403" max="6403" width="16" style="83" bestFit="1" customWidth="1"/>
    <col min="6404" max="6404" width="15.28515625" style="83" bestFit="1" customWidth="1"/>
    <col min="6405" max="6657" width="8.85546875" style="83"/>
    <col min="6658" max="6658" width="14.42578125" style="83" bestFit="1" customWidth="1"/>
    <col min="6659" max="6659" width="16" style="83" bestFit="1" customWidth="1"/>
    <col min="6660" max="6660" width="15.28515625" style="83" bestFit="1" customWidth="1"/>
    <col min="6661" max="6913" width="8.85546875" style="83"/>
    <col min="6914" max="6914" width="14.42578125" style="83" bestFit="1" customWidth="1"/>
    <col min="6915" max="6915" width="16" style="83" bestFit="1" customWidth="1"/>
    <col min="6916" max="6916" width="15.28515625" style="83" bestFit="1" customWidth="1"/>
    <col min="6917" max="7169" width="8.85546875" style="83"/>
    <col min="7170" max="7170" width="14.42578125" style="83" bestFit="1" customWidth="1"/>
    <col min="7171" max="7171" width="16" style="83" bestFit="1" customWidth="1"/>
    <col min="7172" max="7172" width="15.28515625" style="83" bestFit="1" customWidth="1"/>
    <col min="7173" max="7425" width="8.85546875" style="83"/>
    <col min="7426" max="7426" width="14.42578125" style="83" bestFit="1" customWidth="1"/>
    <col min="7427" max="7427" width="16" style="83" bestFit="1" customWidth="1"/>
    <col min="7428" max="7428" width="15.28515625" style="83" bestFit="1" customWidth="1"/>
    <col min="7429" max="7681" width="8.85546875" style="83"/>
    <col min="7682" max="7682" width="14.42578125" style="83" bestFit="1" customWidth="1"/>
    <col min="7683" max="7683" width="16" style="83" bestFit="1" customWidth="1"/>
    <col min="7684" max="7684" width="15.28515625" style="83" bestFit="1" customWidth="1"/>
    <col min="7685" max="7937" width="8.85546875" style="83"/>
    <col min="7938" max="7938" width="14.42578125" style="83" bestFit="1" customWidth="1"/>
    <col min="7939" max="7939" width="16" style="83" bestFit="1" customWidth="1"/>
    <col min="7940" max="7940" width="15.28515625" style="83" bestFit="1" customWidth="1"/>
    <col min="7941" max="8193" width="8.85546875" style="83"/>
    <col min="8194" max="8194" width="14.42578125" style="83" bestFit="1" customWidth="1"/>
    <col min="8195" max="8195" width="16" style="83" bestFit="1" customWidth="1"/>
    <col min="8196" max="8196" width="15.28515625" style="83" bestFit="1" customWidth="1"/>
    <col min="8197" max="8449" width="8.85546875" style="83"/>
    <col min="8450" max="8450" width="14.42578125" style="83" bestFit="1" customWidth="1"/>
    <col min="8451" max="8451" width="16" style="83" bestFit="1" customWidth="1"/>
    <col min="8452" max="8452" width="15.28515625" style="83" bestFit="1" customWidth="1"/>
    <col min="8453" max="8705" width="8.85546875" style="83"/>
    <col min="8706" max="8706" width="14.42578125" style="83" bestFit="1" customWidth="1"/>
    <col min="8707" max="8707" width="16" style="83" bestFit="1" customWidth="1"/>
    <col min="8708" max="8708" width="15.28515625" style="83" bestFit="1" customWidth="1"/>
    <col min="8709" max="8961" width="8.85546875" style="83"/>
    <col min="8962" max="8962" width="14.42578125" style="83" bestFit="1" customWidth="1"/>
    <col min="8963" max="8963" width="16" style="83" bestFit="1" customWidth="1"/>
    <col min="8964" max="8964" width="15.28515625" style="83" bestFit="1" customWidth="1"/>
    <col min="8965" max="9217" width="8.85546875" style="83"/>
    <col min="9218" max="9218" width="14.42578125" style="83" bestFit="1" customWidth="1"/>
    <col min="9219" max="9219" width="16" style="83" bestFit="1" customWidth="1"/>
    <col min="9220" max="9220" width="15.28515625" style="83" bestFit="1" customWidth="1"/>
    <col min="9221" max="9473" width="8.85546875" style="83"/>
    <col min="9474" max="9474" width="14.42578125" style="83" bestFit="1" customWidth="1"/>
    <col min="9475" max="9475" width="16" style="83" bestFit="1" customWidth="1"/>
    <col min="9476" max="9476" width="15.28515625" style="83" bestFit="1" customWidth="1"/>
    <col min="9477" max="9729" width="8.85546875" style="83"/>
    <col min="9730" max="9730" width="14.42578125" style="83" bestFit="1" customWidth="1"/>
    <col min="9731" max="9731" width="16" style="83" bestFit="1" customWidth="1"/>
    <col min="9732" max="9732" width="15.28515625" style="83" bestFit="1" customWidth="1"/>
    <col min="9733" max="9985" width="8.85546875" style="83"/>
    <col min="9986" max="9986" width="14.42578125" style="83" bestFit="1" customWidth="1"/>
    <col min="9987" max="9987" width="16" style="83" bestFit="1" customWidth="1"/>
    <col min="9988" max="9988" width="15.28515625" style="83" bestFit="1" customWidth="1"/>
    <col min="9989" max="10241" width="8.85546875" style="83"/>
    <col min="10242" max="10242" width="14.42578125" style="83" bestFit="1" customWidth="1"/>
    <col min="10243" max="10243" width="16" style="83" bestFit="1" customWidth="1"/>
    <col min="10244" max="10244" width="15.28515625" style="83" bestFit="1" customWidth="1"/>
    <col min="10245" max="10497" width="8.85546875" style="83"/>
    <col min="10498" max="10498" width="14.42578125" style="83" bestFit="1" customWidth="1"/>
    <col min="10499" max="10499" width="16" style="83" bestFit="1" customWidth="1"/>
    <col min="10500" max="10500" width="15.28515625" style="83" bestFit="1" customWidth="1"/>
    <col min="10501" max="10753" width="8.85546875" style="83"/>
    <col min="10754" max="10754" width="14.42578125" style="83" bestFit="1" customWidth="1"/>
    <col min="10755" max="10755" width="16" style="83" bestFit="1" customWidth="1"/>
    <col min="10756" max="10756" width="15.28515625" style="83" bestFit="1" customWidth="1"/>
    <col min="10757" max="11009" width="8.85546875" style="83"/>
    <col min="11010" max="11010" width="14.42578125" style="83" bestFit="1" customWidth="1"/>
    <col min="11011" max="11011" width="16" style="83" bestFit="1" customWidth="1"/>
    <col min="11012" max="11012" width="15.28515625" style="83" bestFit="1" customWidth="1"/>
    <col min="11013" max="11265" width="8.85546875" style="83"/>
    <col min="11266" max="11266" width="14.42578125" style="83" bestFit="1" customWidth="1"/>
    <col min="11267" max="11267" width="16" style="83" bestFit="1" customWidth="1"/>
    <col min="11268" max="11268" width="15.28515625" style="83" bestFit="1" customWidth="1"/>
    <col min="11269" max="11521" width="8.85546875" style="83"/>
    <col min="11522" max="11522" width="14.42578125" style="83" bestFit="1" customWidth="1"/>
    <col min="11523" max="11523" width="16" style="83" bestFit="1" customWidth="1"/>
    <col min="11524" max="11524" width="15.28515625" style="83" bestFit="1" customWidth="1"/>
    <col min="11525" max="11777" width="8.85546875" style="83"/>
    <col min="11778" max="11778" width="14.42578125" style="83" bestFit="1" customWidth="1"/>
    <col min="11779" max="11779" width="16" style="83" bestFit="1" customWidth="1"/>
    <col min="11780" max="11780" width="15.28515625" style="83" bestFit="1" customWidth="1"/>
    <col min="11781" max="12033" width="8.85546875" style="83"/>
    <col min="12034" max="12034" width="14.42578125" style="83" bestFit="1" customWidth="1"/>
    <col min="12035" max="12035" width="16" style="83" bestFit="1" customWidth="1"/>
    <col min="12036" max="12036" width="15.28515625" style="83" bestFit="1" customWidth="1"/>
    <col min="12037" max="12289" width="8.85546875" style="83"/>
    <col min="12290" max="12290" width="14.42578125" style="83" bestFit="1" customWidth="1"/>
    <col min="12291" max="12291" width="16" style="83" bestFit="1" customWidth="1"/>
    <col min="12292" max="12292" width="15.28515625" style="83" bestFit="1" customWidth="1"/>
    <col min="12293" max="12545" width="8.85546875" style="83"/>
    <col min="12546" max="12546" width="14.42578125" style="83" bestFit="1" customWidth="1"/>
    <col min="12547" max="12547" width="16" style="83" bestFit="1" customWidth="1"/>
    <col min="12548" max="12548" width="15.28515625" style="83" bestFit="1" customWidth="1"/>
    <col min="12549" max="12801" width="8.85546875" style="83"/>
    <col min="12802" max="12802" width="14.42578125" style="83" bestFit="1" customWidth="1"/>
    <col min="12803" max="12803" width="16" style="83" bestFit="1" customWidth="1"/>
    <col min="12804" max="12804" width="15.28515625" style="83" bestFit="1" customWidth="1"/>
    <col min="12805" max="13057" width="8.85546875" style="83"/>
    <col min="13058" max="13058" width="14.42578125" style="83" bestFit="1" customWidth="1"/>
    <col min="13059" max="13059" width="16" style="83" bestFit="1" customWidth="1"/>
    <col min="13060" max="13060" width="15.28515625" style="83" bestFit="1" customWidth="1"/>
    <col min="13061" max="13313" width="8.85546875" style="83"/>
    <col min="13314" max="13314" width="14.42578125" style="83" bestFit="1" customWidth="1"/>
    <col min="13315" max="13315" width="16" style="83" bestFit="1" customWidth="1"/>
    <col min="13316" max="13316" width="15.28515625" style="83" bestFit="1" customWidth="1"/>
    <col min="13317" max="13569" width="8.85546875" style="83"/>
    <col min="13570" max="13570" width="14.42578125" style="83" bestFit="1" customWidth="1"/>
    <col min="13571" max="13571" width="16" style="83" bestFit="1" customWidth="1"/>
    <col min="13572" max="13572" width="15.28515625" style="83" bestFit="1" customWidth="1"/>
    <col min="13573" max="13825" width="8.85546875" style="83"/>
    <col min="13826" max="13826" width="14.42578125" style="83" bestFit="1" customWidth="1"/>
    <col min="13827" max="13827" width="16" style="83" bestFit="1" customWidth="1"/>
    <col min="13828" max="13828" width="15.28515625" style="83" bestFit="1" customWidth="1"/>
    <col min="13829" max="14081" width="8.85546875" style="83"/>
    <col min="14082" max="14082" width="14.42578125" style="83" bestFit="1" customWidth="1"/>
    <col min="14083" max="14083" width="16" style="83" bestFit="1" customWidth="1"/>
    <col min="14084" max="14084" width="15.28515625" style="83" bestFit="1" customWidth="1"/>
    <col min="14085" max="14337" width="8.85546875" style="83"/>
    <col min="14338" max="14338" width="14.42578125" style="83" bestFit="1" customWidth="1"/>
    <col min="14339" max="14339" width="16" style="83" bestFit="1" customWidth="1"/>
    <col min="14340" max="14340" width="15.28515625" style="83" bestFit="1" customWidth="1"/>
    <col min="14341" max="14593" width="8.85546875" style="83"/>
    <col min="14594" max="14594" width="14.42578125" style="83" bestFit="1" customWidth="1"/>
    <col min="14595" max="14595" width="16" style="83" bestFit="1" customWidth="1"/>
    <col min="14596" max="14596" width="15.28515625" style="83" bestFit="1" customWidth="1"/>
    <col min="14597" max="14849" width="8.85546875" style="83"/>
    <col min="14850" max="14850" width="14.42578125" style="83" bestFit="1" customWidth="1"/>
    <col min="14851" max="14851" width="16" style="83" bestFit="1" customWidth="1"/>
    <col min="14852" max="14852" width="15.28515625" style="83" bestFit="1" customWidth="1"/>
    <col min="14853" max="15105" width="8.85546875" style="83"/>
    <col min="15106" max="15106" width="14.42578125" style="83" bestFit="1" customWidth="1"/>
    <col min="15107" max="15107" width="16" style="83" bestFit="1" customWidth="1"/>
    <col min="15108" max="15108" width="15.28515625" style="83" bestFit="1" customWidth="1"/>
    <col min="15109" max="15361" width="8.85546875" style="83"/>
    <col min="15362" max="15362" width="14.42578125" style="83" bestFit="1" customWidth="1"/>
    <col min="15363" max="15363" width="16" style="83" bestFit="1" customWidth="1"/>
    <col min="15364" max="15364" width="15.28515625" style="83" bestFit="1" customWidth="1"/>
    <col min="15365" max="15617" width="8.85546875" style="83"/>
    <col min="15618" max="15618" width="14.42578125" style="83" bestFit="1" customWidth="1"/>
    <col min="15619" max="15619" width="16" style="83" bestFit="1" customWidth="1"/>
    <col min="15620" max="15620" width="15.28515625" style="83" bestFit="1" customWidth="1"/>
    <col min="15621" max="15873" width="8.85546875" style="83"/>
    <col min="15874" max="15874" width="14.42578125" style="83" bestFit="1" customWidth="1"/>
    <col min="15875" max="15875" width="16" style="83" bestFit="1" customWidth="1"/>
    <col min="15876" max="15876" width="15.28515625" style="83" bestFit="1" customWidth="1"/>
    <col min="15877" max="16129" width="8.85546875" style="83"/>
    <col min="16130" max="16130" width="14.42578125" style="83" bestFit="1" customWidth="1"/>
    <col min="16131" max="16131" width="16" style="83" bestFit="1" customWidth="1"/>
    <col min="16132" max="16132" width="15.28515625" style="83" bestFit="1" customWidth="1"/>
    <col min="16133" max="16384" width="8.85546875" style="83"/>
  </cols>
  <sheetData>
    <row r="1" spans="1:7" x14ac:dyDescent="0.25">
      <c r="A1" s="25" t="s">
        <v>78</v>
      </c>
    </row>
    <row r="3" spans="1:7" x14ac:dyDescent="0.25">
      <c r="A3" s="84" t="s">
        <v>51</v>
      </c>
      <c r="B3" s="51" t="s">
        <v>79</v>
      </c>
      <c r="C3" s="51" t="s">
        <v>80</v>
      </c>
      <c r="D3" s="51" t="s">
        <v>81</v>
      </c>
    </row>
    <row r="4" spans="1:7" x14ac:dyDescent="0.25">
      <c r="A4" s="85"/>
      <c r="B4" s="269" t="s">
        <v>54</v>
      </c>
      <c r="C4" s="269"/>
      <c r="D4" s="269"/>
    </row>
    <row r="6" spans="1:7" x14ac:dyDescent="0.25">
      <c r="A6" s="85">
        <v>1960</v>
      </c>
      <c r="B6" s="91">
        <f>199576/(1000)</f>
        <v>199.57599999999999</v>
      </c>
      <c r="C6" s="91">
        <f>233451/(1000)</f>
        <v>233.45099999999999</v>
      </c>
      <c r="D6" s="91">
        <f>150821/(1000)</f>
        <v>150.821</v>
      </c>
      <c r="E6" s="139"/>
      <c r="F6" s="86"/>
      <c r="G6" s="140"/>
    </row>
    <row r="7" spans="1:7" x14ac:dyDescent="0.25">
      <c r="A7" s="85">
        <v>1961</v>
      </c>
      <c r="B7" s="91">
        <f>207786/(1000)</f>
        <v>207.786</v>
      </c>
      <c r="C7" s="91">
        <f>220049/(1000)</f>
        <v>220.04900000000001</v>
      </c>
      <c r="D7" s="91">
        <f>147300/(1000)</f>
        <v>147.30000000000001</v>
      </c>
      <c r="E7" s="139"/>
      <c r="F7" s="86"/>
      <c r="G7" s="140"/>
    </row>
    <row r="8" spans="1:7" x14ac:dyDescent="0.25">
      <c r="A8" s="85">
        <v>1962</v>
      </c>
      <c r="B8" s="91">
        <f>207267/(1000)</f>
        <v>207.267</v>
      </c>
      <c r="C8" s="91">
        <f>246780/(1000)</f>
        <v>246.78</v>
      </c>
      <c r="D8" s="91">
        <f>155105/(1000)</f>
        <v>155.10499999999999</v>
      </c>
      <c r="E8" s="139"/>
      <c r="F8" s="86"/>
      <c r="G8" s="140"/>
    </row>
    <row r="9" spans="1:7" x14ac:dyDescent="0.25">
      <c r="A9" s="85">
        <v>1963</v>
      </c>
      <c r="B9" s="91">
        <f>217054/(1000)</f>
        <v>217.054</v>
      </c>
      <c r="C9" s="91">
        <f>230387/(1000)</f>
        <v>230.387</v>
      </c>
      <c r="D9" s="91">
        <f>169013/(1000)</f>
        <v>169.01300000000001</v>
      </c>
      <c r="E9" s="139"/>
      <c r="F9" s="86"/>
      <c r="G9" s="140"/>
    </row>
    <row r="10" spans="1:7" x14ac:dyDescent="0.25">
      <c r="A10" s="85">
        <v>1964</v>
      </c>
      <c r="B10" s="91">
        <f>215389/(1000)</f>
        <v>215.38900000000001</v>
      </c>
      <c r="C10" s="91">
        <f>264911/(1000)</f>
        <v>264.911</v>
      </c>
      <c r="D10" s="91">
        <f>180738/(1000)</f>
        <v>180.738</v>
      </c>
      <c r="E10" s="139"/>
      <c r="F10" s="86"/>
      <c r="G10" s="140"/>
    </row>
    <row r="11" spans="1:7" x14ac:dyDescent="0.25">
      <c r="A11" s="85">
        <v>1965</v>
      </c>
      <c r="B11" s="91">
        <f>225485/(1000)</f>
        <v>225.48500000000001</v>
      </c>
      <c r="C11" s="91">
        <f>259312/(1000)</f>
        <v>259.31200000000001</v>
      </c>
      <c r="D11" s="91">
        <f>172901/(1000)</f>
        <v>172.90100000000001</v>
      </c>
      <c r="E11" s="139"/>
      <c r="F11" s="86"/>
      <c r="G11" s="140"/>
    </row>
    <row r="12" spans="1:7" x14ac:dyDescent="0.25">
      <c r="A12" s="85">
        <v>1966</v>
      </c>
      <c r="B12" s="91">
        <f>250080/(1000)</f>
        <v>250.08</v>
      </c>
      <c r="C12" s="91">
        <f>300651/(1000)</f>
        <v>300.65100000000001</v>
      </c>
      <c r="D12" s="91">
        <f>178996/(1000)</f>
        <v>178.99600000000001</v>
      </c>
      <c r="E12" s="139"/>
      <c r="F12" s="86"/>
      <c r="G12" s="140"/>
    </row>
    <row r="13" spans="1:7" x14ac:dyDescent="0.25">
      <c r="A13" s="85">
        <v>1967</v>
      </c>
      <c r="B13" s="91">
        <f>262164/(1000)</f>
        <v>262.16399999999999</v>
      </c>
      <c r="C13" s="91">
        <f>291948/(1000)</f>
        <v>291.94799999999998</v>
      </c>
      <c r="D13" s="91">
        <f>188853/(1000)</f>
        <v>188.85300000000001</v>
      </c>
      <c r="E13" s="139"/>
      <c r="F13" s="86"/>
      <c r="G13" s="140"/>
    </row>
    <row r="14" spans="1:7" x14ac:dyDescent="0.25">
      <c r="A14" s="85">
        <v>1968</v>
      </c>
      <c r="B14" s="91">
        <f>252496/(1000)</f>
        <v>252.49600000000001</v>
      </c>
      <c r="C14" s="91">
        <f>323774/(1000)</f>
        <v>323.774</v>
      </c>
      <c r="D14" s="91">
        <f>194855/(1000)</f>
        <v>194.85499999999999</v>
      </c>
      <c r="E14" s="139"/>
      <c r="F14" s="86"/>
      <c r="G14" s="140"/>
    </row>
    <row r="15" spans="1:7" x14ac:dyDescent="0.25">
      <c r="A15" s="85">
        <v>1969</v>
      </c>
      <c r="B15" s="91">
        <f>270038/(1000)</f>
        <v>270.03800000000001</v>
      </c>
      <c r="C15" s="91">
        <f>304021/(1000)</f>
        <v>304.02100000000002</v>
      </c>
      <c r="D15" s="91">
        <f>201087/(1000)</f>
        <v>201.08699999999999</v>
      </c>
      <c r="E15" s="139"/>
      <c r="F15" s="86"/>
      <c r="G15" s="140"/>
    </row>
    <row r="16" spans="1:7" x14ac:dyDescent="0.25">
      <c r="A16" s="85">
        <v>1970</v>
      </c>
      <c r="B16" s="91">
        <f>268078/(1000)</f>
        <v>268.07799999999997</v>
      </c>
      <c r="C16" s="91">
        <f>306531/(1000)</f>
        <v>306.53100000000001</v>
      </c>
      <c r="D16" s="91">
        <f>213012/(1000)</f>
        <v>213.012</v>
      </c>
      <c r="E16" s="139"/>
      <c r="F16" s="86"/>
      <c r="G16" s="140"/>
    </row>
    <row r="17" spans="1:7" x14ac:dyDescent="0.25">
      <c r="A17" s="85">
        <v>1971</v>
      </c>
      <c r="B17" s="91">
        <f>308500/(1000)</f>
        <v>308.5</v>
      </c>
      <c r="C17" s="91">
        <f>344119/(1000)</f>
        <v>344.11900000000003</v>
      </c>
      <c r="D17" s="91">
        <f>215772/(1000)</f>
        <v>215.77199999999999</v>
      </c>
      <c r="E17" s="139"/>
      <c r="F17" s="86"/>
      <c r="G17" s="140"/>
    </row>
    <row r="18" spans="1:7" x14ac:dyDescent="0.25">
      <c r="A18" s="85">
        <v>1972</v>
      </c>
      <c r="B18" s="91">
        <f>301447/(1000)</f>
        <v>301.447</v>
      </c>
      <c r="C18" s="91">
        <f>337486/(1000)</f>
        <v>337.48599999999999</v>
      </c>
      <c r="D18" s="91">
        <f>208937/(1000)</f>
        <v>208.93700000000001</v>
      </c>
      <c r="E18" s="139"/>
      <c r="F18" s="86"/>
      <c r="G18" s="140"/>
    </row>
    <row r="19" spans="1:7" x14ac:dyDescent="0.25">
      <c r="A19" s="85">
        <v>1973</v>
      </c>
      <c r="B19" s="91">
        <f>330523/(1000)</f>
        <v>330.52300000000002</v>
      </c>
      <c r="C19" s="91">
        <f>366069/(1000)</f>
        <v>366.06900000000002</v>
      </c>
      <c r="D19" s="91">
        <f>227555/(1000)</f>
        <v>227.55500000000001</v>
      </c>
      <c r="E19" s="139"/>
      <c r="F19" s="86"/>
      <c r="G19" s="140"/>
    </row>
    <row r="20" spans="1:7" x14ac:dyDescent="0.25">
      <c r="A20" s="85">
        <v>1974</v>
      </c>
      <c r="B20" s="91">
        <f>299781/(1000)</f>
        <v>299.78100000000001</v>
      </c>
      <c r="C20" s="91">
        <f>355226/(1000)</f>
        <v>355.226</v>
      </c>
      <c r="D20" s="91">
        <f>225662/(1000)</f>
        <v>225.66200000000001</v>
      </c>
      <c r="E20" s="139"/>
      <c r="F20" s="86"/>
      <c r="G20" s="140"/>
    </row>
    <row r="21" spans="1:7" x14ac:dyDescent="0.25">
      <c r="A21" s="85">
        <v>1975</v>
      </c>
      <c r="B21" s="91">
        <f>339215/(1000)</f>
        <v>339.21499999999997</v>
      </c>
      <c r="C21" s="91">
        <f>352647/(1000)</f>
        <v>352.64699999999999</v>
      </c>
      <c r="D21" s="91">
        <f>242892/(1000)</f>
        <v>242.892</v>
      </c>
      <c r="E21" s="139"/>
      <c r="F21" s="86"/>
      <c r="G21" s="140"/>
    </row>
    <row r="22" spans="1:7" x14ac:dyDescent="0.25">
      <c r="A22" s="85">
        <v>1976</v>
      </c>
      <c r="B22" s="91">
        <f>356140/(1000)</f>
        <v>356.14</v>
      </c>
      <c r="C22" s="91">
        <f>414348/(1000)</f>
        <v>414.34800000000001</v>
      </c>
      <c r="D22" s="91">
        <f>235387/(1000)</f>
        <v>235.387</v>
      </c>
      <c r="E22" s="139"/>
      <c r="F22" s="86"/>
      <c r="G22" s="140"/>
    </row>
    <row r="23" spans="1:7" x14ac:dyDescent="0.25">
      <c r="A23" s="85">
        <v>1977</v>
      </c>
      <c r="B23" s="91">
        <f>365441/(1000)</f>
        <v>365.44099999999997</v>
      </c>
      <c r="C23" s="91">
        <f>377844/(1000)</f>
        <v>377.84399999999999</v>
      </c>
      <c r="D23" s="91">
        <f>250121/(1000)</f>
        <v>250.12100000000001</v>
      </c>
      <c r="E23" s="139"/>
      <c r="F23" s="86"/>
      <c r="G23" s="140"/>
    </row>
    <row r="24" spans="1:7" x14ac:dyDescent="0.25">
      <c r="A24" s="85">
        <v>1978</v>
      </c>
      <c r="B24" s="91">
        <f>392120/(1000)</f>
        <v>392.12</v>
      </c>
      <c r="C24" s="91">
        <f>438942/(1000)</f>
        <v>438.94200000000001</v>
      </c>
      <c r="D24" s="91">
        <f>262069/(1000)</f>
        <v>262.06900000000002</v>
      </c>
      <c r="E24" s="139"/>
      <c r="F24" s="86"/>
      <c r="G24" s="140"/>
    </row>
    <row r="25" spans="1:7" x14ac:dyDescent="0.25">
      <c r="A25" s="85">
        <v>1979</v>
      </c>
      <c r="B25" s="91">
        <f>425566/(1000)</f>
        <v>425.56599999999997</v>
      </c>
      <c r="C25" s="91">
        <f>417542/(1000)</f>
        <v>417.54199999999997</v>
      </c>
      <c r="D25" s="91">
        <f>256170/(1000)</f>
        <v>256.17</v>
      </c>
      <c r="F25" s="86"/>
      <c r="G25" s="140"/>
    </row>
    <row r="26" spans="1:7" x14ac:dyDescent="0.25">
      <c r="A26" s="85">
        <v>1980</v>
      </c>
      <c r="B26" s="91">
        <f>408734/(1000)</f>
        <v>408.73399999999998</v>
      </c>
      <c r="C26" s="91">
        <f>435867/(1000)</f>
        <v>435.86700000000002</v>
      </c>
      <c r="D26" s="91">
        <f>269908/(1000)</f>
        <v>269.90800000000002</v>
      </c>
      <c r="E26" s="139"/>
      <c r="F26" s="86"/>
      <c r="G26" s="140"/>
    </row>
    <row r="27" spans="1:7" x14ac:dyDescent="0.25">
      <c r="A27" s="85">
        <v>1981</v>
      </c>
      <c r="B27" s="91">
        <f>441753/(1000)</f>
        <v>441.75299999999999</v>
      </c>
      <c r="C27" s="91">
        <f>444995/(1000)</f>
        <v>444.995</v>
      </c>
      <c r="D27" s="91">
        <f>277902/(1000)</f>
        <v>277.90199999999999</v>
      </c>
      <c r="E27" s="139"/>
      <c r="F27" s="86"/>
      <c r="G27" s="140"/>
    </row>
    <row r="28" spans="1:7" x14ac:dyDescent="0.25">
      <c r="A28" s="85">
        <v>1982</v>
      </c>
      <c r="B28" s="91">
        <f>439869/(1000)</f>
        <v>439.86900000000003</v>
      </c>
      <c r="C28" s="91">
        <f>472739/(1000)</f>
        <v>472.73899999999998</v>
      </c>
      <c r="D28" s="91">
        <f>284974/(1000)</f>
        <v>284.97399999999999</v>
      </c>
      <c r="E28" s="139"/>
      <c r="F28" s="86"/>
      <c r="G28" s="140"/>
    </row>
    <row r="29" spans="1:7" x14ac:dyDescent="0.25">
      <c r="A29" s="85">
        <v>1983</v>
      </c>
      <c r="B29" s="91">
        <f>348272/(1000)</f>
        <v>348.27199999999999</v>
      </c>
      <c r="C29" s="91">
        <f>484307/(1000)</f>
        <v>484.30700000000002</v>
      </c>
      <c r="D29" s="91">
        <f>306942/(1000)</f>
        <v>306.94200000000001</v>
      </c>
      <c r="E29" s="139"/>
      <c r="F29" s="86"/>
      <c r="G29" s="140"/>
    </row>
    <row r="30" spans="1:7" x14ac:dyDescent="0.25">
      <c r="A30" s="85">
        <v>1984</v>
      </c>
      <c r="B30" s="91">
        <f>458366/(1000)</f>
        <v>458.36599999999999</v>
      </c>
      <c r="C30" s="91">
        <f>508913/(1000)</f>
        <v>508.91300000000001</v>
      </c>
      <c r="D30" s="91">
        <f>316758/(1000)</f>
        <v>316.75799999999998</v>
      </c>
      <c r="E30" s="139"/>
      <c r="F30" s="86"/>
      <c r="G30" s="140"/>
    </row>
    <row r="31" spans="1:7" x14ac:dyDescent="0.25">
      <c r="A31" s="85">
        <v>1985</v>
      </c>
      <c r="B31" s="91">
        <f>479020/(1000)</f>
        <v>479.02</v>
      </c>
      <c r="C31" s="91">
        <f>494811/(1000)</f>
        <v>494.81099999999998</v>
      </c>
      <c r="D31" s="91">
        <f>317986/(1000)</f>
        <v>317.98599999999999</v>
      </c>
      <c r="E31" s="139"/>
      <c r="F31" s="86"/>
      <c r="G31" s="140"/>
    </row>
    <row r="32" spans="1:7" x14ac:dyDescent="0.25">
      <c r="A32" s="85">
        <v>1986</v>
      </c>
      <c r="B32" s="91">
        <f>475444/(1000)</f>
        <v>475.44400000000002</v>
      </c>
      <c r="C32" s="91">
        <f>524082/(1000)</f>
        <v>524.08199999999999</v>
      </c>
      <c r="D32" s="91">
        <f>316051/(1000)</f>
        <v>316.05099999999999</v>
      </c>
      <c r="E32" s="139"/>
      <c r="F32" s="86"/>
      <c r="G32" s="140"/>
    </row>
    <row r="33" spans="1:7" x14ac:dyDescent="0.25">
      <c r="A33" s="85">
        <v>1987</v>
      </c>
      <c r="B33" s="91">
        <f>450997/(1000)</f>
        <v>450.99700000000001</v>
      </c>
      <c r="C33" s="91">
        <f>498710/(1000)</f>
        <v>498.71</v>
      </c>
      <c r="D33" s="91">
        <f>315092/(1000)</f>
        <v>315.09199999999998</v>
      </c>
      <c r="E33" s="139"/>
      <c r="F33" s="86"/>
      <c r="G33" s="140"/>
    </row>
    <row r="34" spans="1:7" x14ac:dyDescent="0.25">
      <c r="A34" s="85">
        <v>1988</v>
      </c>
      <c r="B34" s="91">
        <f>400413/(1000)</f>
        <v>400.41300000000001</v>
      </c>
      <c r="C34" s="91">
        <f>495276/(1000)</f>
        <v>495.27600000000001</v>
      </c>
      <c r="D34" s="91">
        <f>332117/(1000)</f>
        <v>332.11700000000002</v>
      </c>
      <c r="E34" s="139"/>
      <c r="F34" s="86"/>
      <c r="G34" s="140"/>
    </row>
    <row r="35" spans="1:7" x14ac:dyDescent="0.25">
      <c r="A35" s="85">
        <v>1989</v>
      </c>
      <c r="B35" s="91">
        <f>461690/(1000)</f>
        <v>461.69</v>
      </c>
      <c r="C35" s="91">
        <f>533132/(1000)</f>
        <v>533.13199999999995</v>
      </c>
      <c r="D35" s="91">
        <f>345247/(1000)</f>
        <v>345.24700000000001</v>
      </c>
      <c r="E35" s="139"/>
      <c r="F35" s="86"/>
      <c r="G35" s="140"/>
    </row>
    <row r="36" spans="1:7" x14ac:dyDescent="0.25">
      <c r="A36" s="85">
        <v>1990</v>
      </c>
      <c r="B36" s="91">
        <f>481963/(1000)</f>
        <v>481.96300000000002</v>
      </c>
      <c r="C36" s="91">
        <f>588801/(1000)</f>
        <v>588.80100000000004</v>
      </c>
      <c r="D36" s="91">
        <f>351371/(1000)</f>
        <v>351.37099999999998</v>
      </c>
      <c r="E36" s="139"/>
      <c r="F36" s="86"/>
      <c r="G36" s="140"/>
    </row>
    <row r="37" spans="1:7" x14ac:dyDescent="0.25">
      <c r="A37" s="85">
        <v>1991</v>
      </c>
      <c r="B37" s="91">
        <f>492950/(1000)</f>
        <v>492.95</v>
      </c>
      <c r="C37" s="91">
        <f>543510/(1000)</f>
        <v>543.51</v>
      </c>
      <c r="D37" s="91">
        <f>353235/(1000)</f>
        <v>353.23500000000001</v>
      </c>
      <c r="E37" s="139"/>
      <c r="F37" s="86"/>
      <c r="G37" s="140"/>
    </row>
    <row r="38" spans="1:7" x14ac:dyDescent="0.25">
      <c r="A38" s="85">
        <v>1992</v>
      </c>
      <c r="B38" s="91">
        <f>535605/(1000)</f>
        <v>535.60500000000002</v>
      </c>
      <c r="C38" s="91">
        <f>562634/(1000)</f>
        <v>562.63400000000001</v>
      </c>
      <c r="D38" s="91">
        <f>354003/(1000)</f>
        <v>354.00299999999999</v>
      </c>
      <c r="E38" s="139"/>
      <c r="F38" s="86"/>
      <c r="G38" s="140"/>
    </row>
    <row r="39" spans="1:7" x14ac:dyDescent="0.25">
      <c r="A39" s="88">
        <v>1993</v>
      </c>
      <c r="B39" s="91">
        <f>475773/(1000)</f>
        <v>475.77300000000002</v>
      </c>
      <c r="C39" s="91">
        <f>558470/(1000)</f>
        <v>558.47</v>
      </c>
      <c r="D39" s="91">
        <f>354700/(1000)</f>
        <v>354.7</v>
      </c>
      <c r="E39" s="139"/>
      <c r="F39" s="86"/>
      <c r="G39" s="140"/>
    </row>
    <row r="40" spans="1:7" x14ac:dyDescent="0.25">
      <c r="A40" s="85">
        <v>1994</v>
      </c>
      <c r="B40" s="91">
        <f>559332/(1000)</f>
        <v>559.33199999999999</v>
      </c>
      <c r="C40" s="91">
        <f>523031/(1000)</f>
        <v>523.03099999999995</v>
      </c>
      <c r="D40" s="91">
        <f>364148/(1000)</f>
        <v>364.14800000000002</v>
      </c>
      <c r="E40" s="139"/>
      <c r="F40" s="86"/>
      <c r="G40" s="140"/>
    </row>
    <row r="41" spans="1:7" x14ac:dyDescent="0.25">
      <c r="A41" s="85">
        <v>1995</v>
      </c>
      <c r="B41" s="91">
        <f>516371/(1000)</f>
        <v>516.37099999999998</v>
      </c>
      <c r="C41" s="91">
        <f>537516/(1000)</f>
        <v>537.51599999999996</v>
      </c>
      <c r="D41" s="91">
        <f>368791/(1000)</f>
        <v>368.791</v>
      </c>
      <c r="E41" s="139"/>
      <c r="F41" s="86"/>
      <c r="G41" s="140"/>
    </row>
    <row r="42" spans="1:7" x14ac:dyDescent="0.25">
      <c r="A42" s="85">
        <v>1996</v>
      </c>
      <c r="B42" s="91">
        <f>592999/(1000)</f>
        <v>592.99900000000002</v>
      </c>
      <c r="C42" s="91">
        <f>581470/(1000)</f>
        <v>581.47</v>
      </c>
      <c r="D42" s="91">
        <f>381382/(1000)</f>
        <v>381.38200000000001</v>
      </c>
      <c r="E42" s="139"/>
      <c r="F42" s="86"/>
      <c r="G42" s="140"/>
    </row>
    <row r="43" spans="1:7" x14ac:dyDescent="0.25">
      <c r="A43" s="85">
        <v>1997</v>
      </c>
      <c r="B43" s="91">
        <f>574435/(1000)</f>
        <v>574.43499999999995</v>
      </c>
      <c r="C43" s="91">
        <f>610232/(1000)</f>
        <v>610.23199999999997</v>
      </c>
      <c r="D43" s="91">
        <f>387433/(1000)</f>
        <v>387.43299999999999</v>
      </c>
      <c r="E43" s="139"/>
      <c r="F43" s="86"/>
      <c r="G43" s="140"/>
    </row>
    <row r="44" spans="1:7" x14ac:dyDescent="0.25">
      <c r="A44" s="85">
        <v>1998</v>
      </c>
      <c r="B44" s="91">
        <f>605973/(1000)</f>
        <v>605.97299999999996</v>
      </c>
      <c r="C44" s="91">
        <f>590436/(1000)</f>
        <v>590.43600000000004</v>
      </c>
      <c r="D44" s="91">
        <f>394915/(1000)</f>
        <v>394.91500000000002</v>
      </c>
      <c r="E44" s="139"/>
      <c r="F44" s="86"/>
      <c r="G44" s="140"/>
    </row>
    <row r="45" spans="1:7" x14ac:dyDescent="0.25">
      <c r="A45" s="85">
        <v>1999</v>
      </c>
      <c r="B45" s="91">
        <f>608109/(1000)</f>
        <v>608.10900000000004</v>
      </c>
      <c r="C45" s="91">
        <f>586839/(1000)</f>
        <v>586.83900000000006</v>
      </c>
      <c r="D45" s="91">
        <f>409176/(1000)</f>
        <v>409.17599999999999</v>
      </c>
      <c r="E45" s="139"/>
      <c r="F45" s="86"/>
      <c r="G45" s="140"/>
    </row>
    <row r="46" spans="1:7" x14ac:dyDescent="0.25">
      <c r="A46" s="85">
        <v>2000</v>
      </c>
      <c r="B46" s="91">
        <f>591365/(1000)</f>
        <v>591.36500000000001</v>
      </c>
      <c r="C46" s="91">
        <f>583075/(1000)</f>
        <v>583.07500000000005</v>
      </c>
      <c r="D46" s="91">
        <f>399260/(1000)</f>
        <v>399.26</v>
      </c>
      <c r="E46" s="139"/>
      <c r="F46" s="86"/>
      <c r="G46" s="140"/>
    </row>
    <row r="47" spans="1:7" x14ac:dyDescent="0.25">
      <c r="A47" s="85">
        <v>2001</v>
      </c>
      <c r="B47" s="91">
        <f>601044/(1000)</f>
        <v>601.04399999999998</v>
      </c>
      <c r="C47" s="91">
        <f>583552/(1000)</f>
        <v>583.55200000000002</v>
      </c>
      <c r="D47" s="91">
        <f>399472/(1000)</f>
        <v>399.47199999999998</v>
      </c>
      <c r="E47" s="139"/>
      <c r="F47" s="86"/>
      <c r="G47" s="140"/>
    </row>
    <row r="48" spans="1:7" x14ac:dyDescent="0.25">
      <c r="A48" s="85">
        <v>2002</v>
      </c>
      <c r="B48" s="91">
        <f>603179/(1000)</f>
        <v>603.17899999999997</v>
      </c>
      <c r="C48" s="91">
        <f>569597/(1000)</f>
        <v>569.59699999999998</v>
      </c>
      <c r="D48" s="91">
        <f>378199/(1000)</f>
        <v>378.19900000000001</v>
      </c>
      <c r="E48" s="139"/>
      <c r="F48" s="86"/>
      <c r="G48" s="140"/>
    </row>
    <row r="49" spans="1:7" x14ac:dyDescent="0.25">
      <c r="A49" s="85">
        <v>2003</v>
      </c>
      <c r="B49" s="91">
        <f>627387/(1000)</f>
        <v>627.38699999999994</v>
      </c>
      <c r="C49" s="91">
        <f>555271/(1000)</f>
        <v>555.27099999999996</v>
      </c>
      <c r="D49" s="91">
        <f>392312/(1000)</f>
        <v>392.31200000000001</v>
      </c>
      <c r="E49" s="139"/>
      <c r="F49" s="86"/>
      <c r="G49" s="140"/>
    </row>
    <row r="50" spans="1:7" x14ac:dyDescent="0.25">
      <c r="A50" s="85">
        <v>2004</v>
      </c>
      <c r="B50" s="91">
        <f>715810/(1000)</f>
        <v>715.81</v>
      </c>
      <c r="C50" s="91">
        <f>626673/(1000)</f>
        <v>626.673</v>
      </c>
      <c r="D50" s="91">
        <f>400920/(1000)</f>
        <v>400.92</v>
      </c>
      <c r="E50" s="139"/>
      <c r="F50" s="86"/>
      <c r="G50" s="140"/>
    </row>
    <row r="51" spans="1:7" x14ac:dyDescent="0.25">
      <c r="A51" s="85">
        <v>2005</v>
      </c>
      <c r="B51" s="91">
        <f>699739/(1000)</f>
        <v>699.73900000000003</v>
      </c>
      <c r="C51" s="91">
        <f>618806/(1000)</f>
        <v>618.80600000000004</v>
      </c>
      <c r="D51" s="91">
        <f>417312/(1000)</f>
        <v>417.31200000000001</v>
      </c>
      <c r="E51" s="139"/>
      <c r="F51" s="86"/>
      <c r="G51" s="140"/>
    </row>
    <row r="52" spans="1:7" x14ac:dyDescent="0.25">
      <c r="A52" s="85">
        <v>2006</v>
      </c>
      <c r="B52" s="91">
        <f>714048/(1000)</f>
        <v>714.048</v>
      </c>
      <c r="C52" s="91">
        <f>596112/(1000)</f>
        <v>596.11199999999997</v>
      </c>
      <c r="D52" s="91">
        <f>419911/(1000)</f>
        <v>419.911</v>
      </c>
      <c r="E52" s="139"/>
      <c r="F52" s="86"/>
      <c r="G52" s="140"/>
    </row>
    <row r="53" spans="1:7" x14ac:dyDescent="0.25">
      <c r="A53" s="85">
        <v>2007</v>
      </c>
      <c r="B53" s="91">
        <f>794329/(1000)</f>
        <v>794.32899999999995</v>
      </c>
      <c r="C53" s="91">
        <f>611852/(1000)</f>
        <v>611.85199999999998</v>
      </c>
      <c r="D53" s="91">
        <f>432944/(1000)</f>
        <v>432.94400000000002</v>
      </c>
      <c r="E53" s="139"/>
      <c r="F53" s="86"/>
      <c r="G53" s="140"/>
    </row>
    <row r="54" spans="1:7" x14ac:dyDescent="0.25">
      <c r="A54" s="85">
        <v>2008</v>
      </c>
      <c r="B54" s="91">
        <f>801160/(1000)</f>
        <v>801.16</v>
      </c>
      <c r="C54" s="91">
        <f>682754/(1000)</f>
        <v>682.75400000000002</v>
      </c>
      <c r="D54" s="91">
        <f>448691/(1000)</f>
        <v>448.69099999999997</v>
      </c>
      <c r="E54" s="139"/>
      <c r="F54" s="86"/>
      <c r="G54" s="140"/>
    </row>
    <row r="55" spans="1:7" x14ac:dyDescent="0.25">
      <c r="A55" s="85">
        <v>2009</v>
      </c>
      <c r="B55" s="91">
        <f>819364/(1000)</f>
        <v>819.36400000000003</v>
      </c>
      <c r="C55" s="91">
        <f>686189/(1000)</f>
        <v>686.18899999999996</v>
      </c>
      <c r="D55" s="91">
        <f>441272/(1000)</f>
        <v>441.27199999999999</v>
      </c>
      <c r="E55" s="139"/>
      <c r="F55" s="86"/>
      <c r="G55" s="140"/>
    </row>
    <row r="56" spans="1:7" x14ac:dyDescent="0.25">
      <c r="A56" s="85">
        <v>2010</v>
      </c>
      <c r="B56" s="91">
        <f>829115/(1000)</f>
        <v>829.11500000000001</v>
      </c>
      <c r="C56" s="91">
        <f>651140/(1000)</f>
        <v>651.14</v>
      </c>
      <c r="D56" s="91">
        <f>449366/(1000)</f>
        <v>449.36599999999999</v>
      </c>
      <c r="E56" s="139"/>
      <c r="F56" s="86"/>
      <c r="G56" s="140"/>
    </row>
    <row r="57" spans="1:7" x14ac:dyDescent="0.25">
      <c r="A57" s="84">
        <v>2011</v>
      </c>
      <c r="B57" s="92">
        <f>873703/(1000)</f>
        <v>873.70299999999997</v>
      </c>
      <c r="C57" s="92">
        <f>694687/(1000)</f>
        <v>694.68700000000001</v>
      </c>
      <c r="D57" s="92">
        <f>463939/(1000)</f>
        <v>463.93900000000002</v>
      </c>
      <c r="E57" s="139"/>
      <c r="F57" s="86"/>
      <c r="G57" s="140"/>
    </row>
    <row r="58" spans="1:7" x14ac:dyDescent="0.25">
      <c r="A58" s="85"/>
    </row>
    <row r="59" spans="1:7" ht="42.75" customHeight="1" x14ac:dyDescent="0.25">
      <c r="A59" s="268" t="s">
        <v>161</v>
      </c>
      <c r="B59" s="268"/>
      <c r="C59" s="268"/>
      <c r="D59" s="268"/>
      <c r="E59" s="268"/>
      <c r="F59" s="268"/>
    </row>
    <row r="60" spans="1:7" x14ac:dyDescent="0.25">
      <c r="A60" s="131"/>
      <c r="B60" s="131"/>
      <c r="C60" s="131"/>
      <c r="D60" s="131"/>
      <c r="E60" s="131"/>
    </row>
    <row r="61" spans="1:7" x14ac:dyDescent="0.25">
      <c r="A61" s="259" t="s">
        <v>164</v>
      </c>
      <c r="B61" s="259"/>
      <c r="C61" s="259"/>
      <c r="D61" s="259"/>
      <c r="E61" s="259"/>
      <c r="F61" s="259"/>
    </row>
    <row r="62" spans="1:7" x14ac:dyDescent="0.25">
      <c r="A62" s="259"/>
      <c r="B62" s="259"/>
      <c r="C62" s="259"/>
      <c r="D62" s="259"/>
      <c r="E62" s="259"/>
      <c r="F62" s="259"/>
    </row>
    <row r="63" spans="1:7" x14ac:dyDescent="0.25">
      <c r="A63" s="259"/>
      <c r="B63" s="259"/>
      <c r="C63" s="259"/>
      <c r="D63" s="259"/>
      <c r="E63" s="259"/>
      <c r="F63" s="259"/>
    </row>
    <row r="64" spans="1:7" x14ac:dyDescent="0.25">
      <c r="A64" s="259"/>
      <c r="B64" s="259"/>
      <c r="C64" s="259"/>
      <c r="D64" s="259"/>
      <c r="E64" s="259"/>
      <c r="F64" s="259"/>
    </row>
  </sheetData>
  <mergeCells count="3">
    <mergeCell ref="B4:D4"/>
    <mergeCell ref="A59:F59"/>
    <mergeCell ref="A61:F64"/>
  </mergeCells>
  <phoneticPr fontId="68" type="noConversion"/>
  <pageMargins left="0.7" right="0.7" top="0.75" bottom="0.75" header="0.3" footer="0.3"/>
  <pageSetup scale="83" orientation="portrait"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G65"/>
  <sheetViews>
    <sheetView zoomScaleNormal="100" zoomScaleSheetLayoutView="100" workbookViewId="0"/>
  </sheetViews>
  <sheetFormatPr defaultColWidth="8.85546875" defaultRowHeight="12.75" x14ac:dyDescent="0.25"/>
  <cols>
    <col min="1" max="1" width="8.85546875" style="83"/>
    <col min="2" max="2" width="12.7109375" style="83" customWidth="1"/>
    <col min="3" max="3" width="14.42578125" style="83" bestFit="1" customWidth="1"/>
    <col min="4" max="4" width="15.28515625" style="83" bestFit="1" customWidth="1"/>
    <col min="5" max="257" width="8.85546875" style="83"/>
    <col min="258" max="258" width="12.7109375" style="83" customWidth="1"/>
    <col min="259" max="259" width="14.42578125" style="83" bestFit="1" customWidth="1"/>
    <col min="260" max="260" width="15.28515625" style="83" bestFit="1" customWidth="1"/>
    <col min="261" max="513" width="8.85546875" style="83"/>
    <col min="514" max="514" width="12.7109375" style="83" customWidth="1"/>
    <col min="515" max="515" width="14.42578125" style="83" bestFit="1" customWidth="1"/>
    <col min="516" max="516" width="15.28515625" style="83" bestFit="1" customWidth="1"/>
    <col min="517" max="769" width="8.85546875" style="83"/>
    <col min="770" max="770" width="12.7109375" style="83" customWidth="1"/>
    <col min="771" max="771" width="14.42578125" style="83" bestFit="1" customWidth="1"/>
    <col min="772" max="772" width="15.28515625" style="83" bestFit="1" customWidth="1"/>
    <col min="773" max="1025" width="8.85546875" style="83"/>
    <col min="1026" max="1026" width="12.7109375" style="83" customWidth="1"/>
    <col min="1027" max="1027" width="14.42578125" style="83" bestFit="1" customWidth="1"/>
    <col min="1028" max="1028" width="15.28515625" style="83" bestFit="1" customWidth="1"/>
    <col min="1029" max="1281" width="8.85546875" style="83"/>
    <col min="1282" max="1282" width="12.7109375" style="83" customWidth="1"/>
    <col min="1283" max="1283" width="14.42578125" style="83" bestFit="1" customWidth="1"/>
    <col min="1284" max="1284" width="15.28515625" style="83" bestFit="1" customWidth="1"/>
    <col min="1285" max="1537" width="8.85546875" style="83"/>
    <col min="1538" max="1538" width="12.7109375" style="83" customWidth="1"/>
    <col min="1539" max="1539" width="14.42578125" style="83" bestFit="1" customWidth="1"/>
    <col min="1540" max="1540" width="15.28515625" style="83" bestFit="1" customWidth="1"/>
    <col min="1541" max="1793" width="8.85546875" style="83"/>
    <col min="1794" max="1794" width="12.7109375" style="83" customWidth="1"/>
    <col min="1795" max="1795" width="14.42578125" style="83" bestFit="1" customWidth="1"/>
    <col min="1796" max="1796" width="15.28515625" style="83" bestFit="1" customWidth="1"/>
    <col min="1797" max="2049" width="8.85546875" style="83"/>
    <col min="2050" max="2050" width="12.7109375" style="83" customWidth="1"/>
    <col min="2051" max="2051" width="14.42578125" style="83" bestFit="1" customWidth="1"/>
    <col min="2052" max="2052" width="15.28515625" style="83" bestFit="1" customWidth="1"/>
    <col min="2053" max="2305" width="8.85546875" style="83"/>
    <col min="2306" max="2306" width="12.7109375" style="83" customWidth="1"/>
    <col min="2307" max="2307" width="14.42578125" style="83" bestFit="1" customWidth="1"/>
    <col min="2308" max="2308" width="15.28515625" style="83" bestFit="1" customWidth="1"/>
    <col min="2309" max="2561" width="8.85546875" style="83"/>
    <col min="2562" max="2562" width="12.7109375" style="83" customWidth="1"/>
    <col min="2563" max="2563" width="14.42578125" style="83" bestFit="1" customWidth="1"/>
    <col min="2564" max="2564" width="15.28515625" style="83" bestFit="1" customWidth="1"/>
    <col min="2565" max="2817" width="8.85546875" style="83"/>
    <col min="2818" max="2818" width="12.7109375" style="83" customWidth="1"/>
    <col min="2819" max="2819" width="14.42578125" style="83" bestFit="1" customWidth="1"/>
    <col min="2820" max="2820" width="15.28515625" style="83" bestFit="1" customWidth="1"/>
    <col min="2821" max="3073" width="8.85546875" style="83"/>
    <col min="3074" max="3074" width="12.7109375" style="83" customWidth="1"/>
    <col min="3075" max="3075" width="14.42578125" style="83" bestFit="1" customWidth="1"/>
    <col min="3076" max="3076" width="15.28515625" style="83" bestFit="1" customWidth="1"/>
    <col min="3077" max="3329" width="8.85546875" style="83"/>
    <col min="3330" max="3330" width="12.7109375" style="83" customWidth="1"/>
    <col min="3331" max="3331" width="14.42578125" style="83" bestFit="1" customWidth="1"/>
    <col min="3332" max="3332" width="15.28515625" style="83" bestFit="1" customWidth="1"/>
    <col min="3333" max="3585" width="8.85546875" style="83"/>
    <col min="3586" max="3586" width="12.7109375" style="83" customWidth="1"/>
    <col min="3587" max="3587" width="14.42578125" style="83" bestFit="1" customWidth="1"/>
    <col min="3588" max="3588" width="15.28515625" style="83" bestFit="1" customWidth="1"/>
    <col min="3589" max="3841" width="8.85546875" style="83"/>
    <col min="3842" max="3842" width="12.7109375" style="83" customWidth="1"/>
    <col min="3843" max="3843" width="14.42578125" style="83" bestFit="1" customWidth="1"/>
    <col min="3844" max="3844" width="15.28515625" style="83" bestFit="1" customWidth="1"/>
    <col min="3845" max="4097" width="8.85546875" style="83"/>
    <col min="4098" max="4098" width="12.7109375" style="83" customWidth="1"/>
    <col min="4099" max="4099" width="14.42578125" style="83" bestFit="1" customWidth="1"/>
    <col min="4100" max="4100" width="15.28515625" style="83" bestFit="1" customWidth="1"/>
    <col min="4101" max="4353" width="8.85546875" style="83"/>
    <col min="4354" max="4354" width="12.7109375" style="83" customWidth="1"/>
    <col min="4355" max="4355" width="14.42578125" style="83" bestFit="1" customWidth="1"/>
    <col min="4356" max="4356" width="15.28515625" style="83" bestFit="1" customWidth="1"/>
    <col min="4357" max="4609" width="8.85546875" style="83"/>
    <col min="4610" max="4610" width="12.7109375" style="83" customWidth="1"/>
    <col min="4611" max="4611" width="14.42578125" style="83" bestFit="1" customWidth="1"/>
    <col min="4612" max="4612" width="15.28515625" style="83" bestFit="1" customWidth="1"/>
    <col min="4613" max="4865" width="8.85546875" style="83"/>
    <col min="4866" max="4866" width="12.7109375" style="83" customWidth="1"/>
    <col min="4867" max="4867" width="14.42578125" style="83" bestFit="1" customWidth="1"/>
    <col min="4868" max="4868" width="15.28515625" style="83" bestFit="1" customWidth="1"/>
    <col min="4869" max="5121" width="8.85546875" style="83"/>
    <col min="5122" max="5122" width="12.7109375" style="83" customWidth="1"/>
    <col min="5123" max="5123" width="14.42578125" style="83" bestFit="1" customWidth="1"/>
    <col min="5124" max="5124" width="15.28515625" style="83" bestFit="1" customWidth="1"/>
    <col min="5125" max="5377" width="8.85546875" style="83"/>
    <col min="5378" max="5378" width="12.7109375" style="83" customWidth="1"/>
    <col min="5379" max="5379" width="14.42578125" style="83" bestFit="1" customWidth="1"/>
    <col min="5380" max="5380" width="15.28515625" style="83" bestFit="1" customWidth="1"/>
    <col min="5381" max="5633" width="8.85546875" style="83"/>
    <col min="5634" max="5634" width="12.7109375" style="83" customWidth="1"/>
    <col min="5635" max="5635" width="14.42578125" style="83" bestFit="1" customWidth="1"/>
    <col min="5636" max="5636" width="15.28515625" style="83" bestFit="1" customWidth="1"/>
    <col min="5637" max="5889" width="8.85546875" style="83"/>
    <col min="5890" max="5890" width="12.7109375" style="83" customWidth="1"/>
    <col min="5891" max="5891" width="14.42578125" style="83" bestFit="1" customWidth="1"/>
    <col min="5892" max="5892" width="15.28515625" style="83" bestFit="1" customWidth="1"/>
    <col min="5893" max="6145" width="8.85546875" style="83"/>
    <col min="6146" max="6146" width="12.7109375" style="83" customWidth="1"/>
    <col min="6147" max="6147" width="14.42578125" style="83" bestFit="1" customWidth="1"/>
    <col min="6148" max="6148" width="15.28515625" style="83" bestFit="1" customWidth="1"/>
    <col min="6149" max="6401" width="8.85546875" style="83"/>
    <col min="6402" max="6402" width="12.7109375" style="83" customWidth="1"/>
    <col min="6403" max="6403" width="14.42578125" style="83" bestFit="1" customWidth="1"/>
    <col min="6404" max="6404" width="15.28515625" style="83" bestFit="1" customWidth="1"/>
    <col min="6405" max="6657" width="8.85546875" style="83"/>
    <col min="6658" max="6658" width="12.7109375" style="83" customWidth="1"/>
    <col min="6659" max="6659" width="14.42578125" style="83" bestFit="1" customWidth="1"/>
    <col min="6660" max="6660" width="15.28515625" style="83" bestFit="1" customWidth="1"/>
    <col min="6661" max="6913" width="8.85546875" style="83"/>
    <col min="6914" max="6914" width="12.7109375" style="83" customWidth="1"/>
    <col min="6915" max="6915" width="14.42578125" style="83" bestFit="1" customWidth="1"/>
    <col min="6916" max="6916" width="15.28515625" style="83" bestFit="1" customWidth="1"/>
    <col min="6917" max="7169" width="8.85546875" style="83"/>
    <col min="7170" max="7170" width="12.7109375" style="83" customWidth="1"/>
    <col min="7171" max="7171" width="14.42578125" style="83" bestFit="1" customWidth="1"/>
    <col min="7172" max="7172" width="15.28515625" style="83" bestFit="1" customWidth="1"/>
    <col min="7173" max="7425" width="8.85546875" style="83"/>
    <col min="7426" max="7426" width="12.7109375" style="83" customWidth="1"/>
    <col min="7427" max="7427" width="14.42578125" style="83" bestFit="1" customWidth="1"/>
    <col min="7428" max="7428" width="15.28515625" style="83" bestFit="1" customWidth="1"/>
    <col min="7429" max="7681" width="8.85546875" style="83"/>
    <col min="7682" max="7682" width="12.7109375" style="83" customWidth="1"/>
    <col min="7683" max="7683" width="14.42578125" style="83" bestFit="1" customWidth="1"/>
    <col min="7684" max="7684" width="15.28515625" style="83" bestFit="1" customWidth="1"/>
    <col min="7685" max="7937" width="8.85546875" style="83"/>
    <col min="7938" max="7938" width="12.7109375" style="83" customWidth="1"/>
    <col min="7939" max="7939" width="14.42578125" style="83" bestFit="1" customWidth="1"/>
    <col min="7940" max="7940" width="15.28515625" style="83" bestFit="1" customWidth="1"/>
    <col min="7941" max="8193" width="8.85546875" style="83"/>
    <col min="8194" max="8194" width="12.7109375" style="83" customWidth="1"/>
    <col min="8195" max="8195" width="14.42578125" style="83" bestFit="1" customWidth="1"/>
    <col min="8196" max="8196" width="15.28515625" style="83" bestFit="1" customWidth="1"/>
    <col min="8197" max="8449" width="8.85546875" style="83"/>
    <col min="8450" max="8450" width="12.7109375" style="83" customWidth="1"/>
    <col min="8451" max="8451" width="14.42578125" style="83" bestFit="1" customWidth="1"/>
    <col min="8452" max="8452" width="15.28515625" style="83" bestFit="1" customWidth="1"/>
    <col min="8453" max="8705" width="8.85546875" style="83"/>
    <col min="8706" max="8706" width="12.7109375" style="83" customWidth="1"/>
    <col min="8707" max="8707" width="14.42578125" style="83" bestFit="1" customWidth="1"/>
    <col min="8708" max="8708" width="15.28515625" style="83" bestFit="1" customWidth="1"/>
    <col min="8709" max="8961" width="8.85546875" style="83"/>
    <col min="8962" max="8962" width="12.7109375" style="83" customWidth="1"/>
    <col min="8963" max="8963" width="14.42578125" style="83" bestFit="1" customWidth="1"/>
    <col min="8964" max="8964" width="15.28515625" style="83" bestFit="1" customWidth="1"/>
    <col min="8965" max="9217" width="8.85546875" style="83"/>
    <col min="9218" max="9218" width="12.7109375" style="83" customWidth="1"/>
    <col min="9219" max="9219" width="14.42578125" style="83" bestFit="1" customWidth="1"/>
    <col min="9220" max="9220" width="15.28515625" style="83" bestFit="1" customWidth="1"/>
    <col min="9221" max="9473" width="8.85546875" style="83"/>
    <col min="9474" max="9474" width="12.7109375" style="83" customWidth="1"/>
    <col min="9475" max="9475" width="14.42578125" style="83" bestFit="1" customWidth="1"/>
    <col min="9476" max="9476" width="15.28515625" style="83" bestFit="1" customWidth="1"/>
    <col min="9477" max="9729" width="8.85546875" style="83"/>
    <col min="9730" max="9730" width="12.7109375" style="83" customWidth="1"/>
    <col min="9731" max="9731" width="14.42578125" style="83" bestFit="1" customWidth="1"/>
    <col min="9732" max="9732" width="15.28515625" style="83" bestFit="1" customWidth="1"/>
    <col min="9733" max="9985" width="8.85546875" style="83"/>
    <col min="9986" max="9986" width="12.7109375" style="83" customWidth="1"/>
    <col min="9987" max="9987" width="14.42578125" style="83" bestFit="1" customWidth="1"/>
    <col min="9988" max="9988" width="15.28515625" style="83" bestFit="1" customWidth="1"/>
    <col min="9989" max="10241" width="8.85546875" style="83"/>
    <col min="10242" max="10242" width="12.7109375" style="83" customWidth="1"/>
    <col min="10243" max="10243" width="14.42578125" style="83" bestFit="1" customWidth="1"/>
    <col min="10244" max="10244" width="15.28515625" style="83" bestFit="1" customWidth="1"/>
    <col min="10245" max="10497" width="8.85546875" style="83"/>
    <col min="10498" max="10498" width="12.7109375" style="83" customWidth="1"/>
    <col min="10499" max="10499" width="14.42578125" style="83" bestFit="1" customWidth="1"/>
    <col min="10500" max="10500" width="15.28515625" style="83" bestFit="1" customWidth="1"/>
    <col min="10501" max="10753" width="8.85546875" style="83"/>
    <col min="10754" max="10754" width="12.7109375" style="83" customWidth="1"/>
    <col min="10755" max="10755" width="14.42578125" style="83" bestFit="1" customWidth="1"/>
    <col min="10756" max="10756" width="15.28515625" style="83" bestFit="1" customWidth="1"/>
    <col min="10757" max="11009" width="8.85546875" style="83"/>
    <col min="11010" max="11010" width="12.7109375" style="83" customWidth="1"/>
    <col min="11011" max="11011" width="14.42578125" style="83" bestFit="1" customWidth="1"/>
    <col min="11012" max="11012" width="15.28515625" style="83" bestFit="1" customWidth="1"/>
    <col min="11013" max="11265" width="8.85546875" style="83"/>
    <col min="11266" max="11266" width="12.7109375" style="83" customWidth="1"/>
    <col min="11267" max="11267" width="14.42578125" style="83" bestFit="1" customWidth="1"/>
    <col min="11268" max="11268" width="15.28515625" style="83" bestFit="1" customWidth="1"/>
    <col min="11269" max="11521" width="8.85546875" style="83"/>
    <col min="11522" max="11522" width="12.7109375" style="83" customWidth="1"/>
    <col min="11523" max="11523" width="14.42578125" style="83" bestFit="1" customWidth="1"/>
    <col min="11524" max="11524" width="15.28515625" style="83" bestFit="1" customWidth="1"/>
    <col min="11525" max="11777" width="8.85546875" style="83"/>
    <col min="11778" max="11778" width="12.7109375" style="83" customWidth="1"/>
    <col min="11779" max="11779" width="14.42578125" style="83" bestFit="1" customWidth="1"/>
    <col min="11780" max="11780" width="15.28515625" style="83" bestFit="1" customWidth="1"/>
    <col min="11781" max="12033" width="8.85546875" style="83"/>
    <col min="12034" max="12034" width="12.7109375" style="83" customWidth="1"/>
    <col min="12035" max="12035" width="14.42578125" style="83" bestFit="1" customWidth="1"/>
    <col min="12036" max="12036" width="15.28515625" style="83" bestFit="1" customWidth="1"/>
    <col min="12037" max="12289" width="8.85546875" style="83"/>
    <col min="12290" max="12290" width="12.7109375" style="83" customWidth="1"/>
    <col min="12291" max="12291" width="14.42578125" style="83" bestFit="1" customWidth="1"/>
    <col min="12292" max="12292" width="15.28515625" style="83" bestFit="1" customWidth="1"/>
    <col min="12293" max="12545" width="8.85546875" style="83"/>
    <col min="12546" max="12546" width="12.7109375" style="83" customWidth="1"/>
    <col min="12547" max="12547" width="14.42578125" style="83" bestFit="1" customWidth="1"/>
    <col min="12548" max="12548" width="15.28515625" style="83" bestFit="1" customWidth="1"/>
    <col min="12549" max="12801" width="8.85546875" style="83"/>
    <col min="12802" max="12802" width="12.7109375" style="83" customWidth="1"/>
    <col min="12803" max="12803" width="14.42578125" style="83" bestFit="1" customWidth="1"/>
    <col min="12804" max="12804" width="15.28515625" style="83" bestFit="1" customWidth="1"/>
    <col min="12805" max="13057" width="8.85546875" style="83"/>
    <col min="13058" max="13058" width="12.7109375" style="83" customWidth="1"/>
    <col min="13059" max="13059" width="14.42578125" style="83" bestFit="1" customWidth="1"/>
    <col min="13060" max="13060" width="15.28515625" style="83" bestFit="1" customWidth="1"/>
    <col min="13061" max="13313" width="8.85546875" style="83"/>
    <col min="13314" max="13314" width="12.7109375" style="83" customWidth="1"/>
    <col min="13315" max="13315" width="14.42578125" style="83" bestFit="1" customWidth="1"/>
    <col min="13316" max="13316" width="15.28515625" style="83" bestFit="1" customWidth="1"/>
    <col min="13317" max="13569" width="8.85546875" style="83"/>
    <col min="13570" max="13570" width="12.7109375" style="83" customWidth="1"/>
    <col min="13571" max="13571" width="14.42578125" style="83" bestFit="1" customWidth="1"/>
    <col min="13572" max="13572" width="15.28515625" style="83" bestFit="1" customWidth="1"/>
    <col min="13573" max="13825" width="8.85546875" style="83"/>
    <col min="13826" max="13826" width="12.7109375" style="83" customWidth="1"/>
    <col min="13827" max="13827" width="14.42578125" style="83" bestFit="1" customWidth="1"/>
    <col min="13828" max="13828" width="15.28515625" style="83" bestFit="1" customWidth="1"/>
    <col min="13829" max="14081" width="8.85546875" style="83"/>
    <col min="14082" max="14082" width="12.7109375" style="83" customWidth="1"/>
    <col min="14083" max="14083" width="14.42578125" style="83" bestFit="1" customWidth="1"/>
    <col min="14084" max="14084" width="15.28515625" style="83" bestFit="1" customWidth="1"/>
    <col min="14085" max="14337" width="8.85546875" style="83"/>
    <col min="14338" max="14338" width="12.7109375" style="83" customWidth="1"/>
    <col min="14339" max="14339" width="14.42578125" style="83" bestFit="1" customWidth="1"/>
    <col min="14340" max="14340" width="15.28515625" style="83" bestFit="1" customWidth="1"/>
    <col min="14341" max="14593" width="8.85546875" style="83"/>
    <col min="14594" max="14594" width="12.7109375" style="83" customWidth="1"/>
    <col min="14595" max="14595" width="14.42578125" style="83" bestFit="1" customWidth="1"/>
    <col min="14596" max="14596" width="15.28515625" style="83" bestFit="1" customWidth="1"/>
    <col min="14597" max="14849" width="8.85546875" style="83"/>
    <col min="14850" max="14850" width="12.7109375" style="83" customWidth="1"/>
    <col min="14851" max="14851" width="14.42578125" style="83" bestFit="1" customWidth="1"/>
    <col min="14852" max="14852" width="15.28515625" style="83" bestFit="1" customWidth="1"/>
    <col min="14853" max="15105" width="8.85546875" style="83"/>
    <col min="15106" max="15106" width="12.7109375" style="83" customWidth="1"/>
    <col min="15107" max="15107" width="14.42578125" style="83" bestFit="1" customWidth="1"/>
    <col min="15108" max="15108" width="15.28515625" style="83" bestFit="1" customWidth="1"/>
    <col min="15109" max="15361" width="8.85546875" style="83"/>
    <col min="15362" max="15362" width="12.7109375" style="83" customWidth="1"/>
    <col min="15363" max="15363" width="14.42578125" style="83" bestFit="1" customWidth="1"/>
    <col min="15364" max="15364" width="15.28515625" style="83" bestFit="1" customWidth="1"/>
    <col min="15365" max="15617" width="8.85546875" style="83"/>
    <col min="15618" max="15618" width="12.7109375" style="83" customWidth="1"/>
    <col min="15619" max="15619" width="14.42578125" style="83" bestFit="1" customWidth="1"/>
    <col min="15620" max="15620" width="15.28515625" style="83" bestFit="1" customWidth="1"/>
    <col min="15621" max="15873" width="8.85546875" style="83"/>
    <col min="15874" max="15874" width="12.7109375" style="83" customWidth="1"/>
    <col min="15875" max="15875" width="14.42578125" style="83" bestFit="1" customWidth="1"/>
    <col min="15876" max="15876" width="15.28515625" style="83" bestFit="1" customWidth="1"/>
    <col min="15877" max="16129" width="8.85546875" style="83"/>
    <col min="16130" max="16130" width="12.7109375" style="83" customWidth="1"/>
    <col min="16131" max="16131" width="14.42578125" style="83" bestFit="1" customWidth="1"/>
    <col min="16132" max="16132" width="15.28515625" style="83" bestFit="1" customWidth="1"/>
    <col min="16133" max="16384" width="8.85546875" style="83"/>
  </cols>
  <sheetData>
    <row r="1" spans="1:7" x14ac:dyDescent="0.25">
      <c r="A1" s="25" t="s">
        <v>0</v>
      </c>
    </row>
    <row r="3" spans="1:7" x14ac:dyDescent="0.25">
      <c r="A3" s="84" t="s">
        <v>51</v>
      </c>
      <c r="B3" s="51" t="s">
        <v>79</v>
      </c>
      <c r="C3" s="51" t="s">
        <v>80</v>
      </c>
      <c r="D3" s="51" t="s">
        <v>81</v>
      </c>
    </row>
    <row r="4" spans="1:7" x14ac:dyDescent="0.25">
      <c r="A4" s="85"/>
      <c r="B4" s="269" t="s">
        <v>62</v>
      </c>
      <c r="C4" s="269"/>
      <c r="D4" s="269"/>
    </row>
    <row r="6" spans="1:7" x14ac:dyDescent="0.25">
      <c r="A6" s="85">
        <v>1960</v>
      </c>
      <c r="B6" s="91">
        <v>102.179</v>
      </c>
      <c r="C6" s="91">
        <v>202.2</v>
      </c>
      <c r="D6" s="91">
        <v>120.13800000000001</v>
      </c>
      <c r="E6" s="139"/>
      <c r="F6" s="86"/>
      <c r="G6" s="140"/>
    </row>
    <row r="7" spans="1:7" x14ac:dyDescent="0.25">
      <c r="A7" s="85">
        <v>1961</v>
      </c>
      <c r="B7" s="91">
        <v>102.839</v>
      </c>
      <c r="C7" s="91">
        <v>203.458</v>
      </c>
      <c r="D7" s="91">
        <v>115.81699999999999</v>
      </c>
      <c r="E7" s="139"/>
      <c r="F7" s="86"/>
      <c r="G7" s="140"/>
    </row>
    <row r="8" spans="1:7" x14ac:dyDescent="0.25">
      <c r="A8" s="85">
        <v>1962</v>
      </c>
      <c r="B8" s="91">
        <v>101.992</v>
      </c>
      <c r="C8" s="91">
        <v>206.87799999999999</v>
      </c>
      <c r="D8" s="91">
        <v>119.71899999999999</v>
      </c>
      <c r="E8" s="139"/>
      <c r="F8" s="86"/>
      <c r="G8" s="140"/>
    </row>
    <row r="9" spans="1:7" x14ac:dyDescent="0.25">
      <c r="A9" s="85">
        <v>1963</v>
      </c>
      <c r="B9" s="91">
        <v>107.361</v>
      </c>
      <c r="C9" s="91">
        <v>206.30699999999999</v>
      </c>
      <c r="D9" s="91">
        <v>121.151</v>
      </c>
      <c r="E9" s="139"/>
      <c r="F9" s="86"/>
      <c r="G9" s="140"/>
    </row>
    <row r="10" spans="1:7" x14ac:dyDescent="0.25">
      <c r="A10" s="85">
        <v>1964</v>
      </c>
      <c r="B10" s="91">
        <v>105.985</v>
      </c>
      <c r="C10" s="91">
        <v>215.94</v>
      </c>
      <c r="D10" s="91">
        <v>125.40300000000001</v>
      </c>
      <c r="E10" s="139"/>
      <c r="F10" s="86"/>
      <c r="G10" s="140"/>
    </row>
    <row r="11" spans="1:7" x14ac:dyDescent="0.25">
      <c r="A11" s="85">
        <v>1965</v>
      </c>
      <c r="B11" s="91">
        <v>104.471</v>
      </c>
      <c r="C11" s="91">
        <v>215.24799999999999</v>
      </c>
      <c r="D11" s="91">
        <v>123.967</v>
      </c>
      <c r="E11" s="139"/>
      <c r="F11" s="86"/>
      <c r="G11" s="140"/>
    </row>
    <row r="12" spans="1:7" x14ac:dyDescent="0.25">
      <c r="A12" s="85">
        <v>1966</v>
      </c>
      <c r="B12" s="91">
        <v>109.66200000000001</v>
      </c>
      <c r="C12" s="91">
        <v>213.84</v>
      </c>
      <c r="D12" s="91">
        <v>125.679</v>
      </c>
      <c r="E12" s="139"/>
      <c r="F12" s="86"/>
      <c r="G12" s="140"/>
    </row>
    <row r="13" spans="1:7" x14ac:dyDescent="0.25">
      <c r="A13" s="85">
        <v>1967</v>
      </c>
      <c r="B13" s="91">
        <v>110.345</v>
      </c>
      <c r="C13" s="91">
        <v>219.20099999999999</v>
      </c>
      <c r="D13" s="91">
        <v>126.99</v>
      </c>
      <c r="E13" s="139"/>
      <c r="F13" s="86"/>
      <c r="G13" s="140"/>
    </row>
    <row r="14" spans="1:7" x14ac:dyDescent="0.25">
      <c r="A14" s="85">
        <v>1968</v>
      </c>
      <c r="B14" s="91">
        <v>108.776</v>
      </c>
      <c r="C14" s="91">
        <v>223.89400000000001</v>
      </c>
      <c r="D14" s="91">
        <v>128.59299999999999</v>
      </c>
      <c r="E14" s="139"/>
      <c r="F14" s="86"/>
      <c r="G14" s="140"/>
    </row>
    <row r="15" spans="1:7" x14ac:dyDescent="0.25">
      <c r="A15" s="85">
        <v>1969</v>
      </c>
      <c r="B15" s="91">
        <v>109.941</v>
      </c>
      <c r="C15" s="91">
        <v>217.82400000000001</v>
      </c>
      <c r="D15" s="91">
        <v>131.42599999999999</v>
      </c>
      <c r="E15" s="139"/>
      <c r="F15" s="86"/>
      <c r="G15" s="140"/>
    </row>
    <row r="16" spans="1:7" x14ac:dyDescent="0.25">
      <c r="A16" s="85">
        <v>1970</v>
      </c>
      <c r="B16" s="91">
        <v>112.523</v>
      </c>
      <c r="C16" s="91">
        <v>206.97900000000001</v>
      </c>
      <c r="D16" s="91">
        <v>132.655</v>
      </c>
      <c r="E16" s="139"/>
      <c r="F16" s="86"/>
      <c r="G16" s="140"/>
    </row>
    <row r="17" spans="1:7" x14ac:dyDescent="0.25">
      <c r="A17" s="85">
        <v>1971</v>
      </c>
      <c r="B17" s="91">
        <v>116.226</v>
      </c>
      <c r="C17" s="91">
        <v>212.73599999999999</v>
      </c>
      <c r="D17" s="91">
        <v>134.83099999999999</v>
      </c>
      <c r="E17" s="139"/>
      <c r="F17" s="86"/>
      <c r="G17" s="140"/>
    </row>
    <row r="18" spans="1:7" x14ac:dyDescent="0.25">
      <c r="A18" s="85">
        <v>1972</v>
      </c>
      <c r="B18" s="91">
        <v>111.871</v>
      </c>
      <c r="C18" s="91">
        <v>210.9</v>
      </c>
      <c r="D18" s="91">
        <v>132.518</v>
      </c>
      <c r="E18" s="139"/>
      <c r="F18" s="86"/>
      <c r="G18" s="140"/>
    </row>
    <row r="19" spans="1:7" x14ac:dyDescent="0.25">
      <c r="A19" s="85">
        <v>1973</v>
      </c>
      <c r="B19" s="91">
        <v>118.151</v>
      </c>
      <c r="C19" s="91">
        <v>217.03</v>
      </c>
      <c r="D19" s="91">
        <v>136.28800000000001</v>
      </c>
      <c r="E19" s="139"/>
      <c r="F19" s="86"/>
      <c r="G19" s="140"/>
    </row>
    <row r="20" spans="1:7" x14ac:dyDescent="0.25">
      <c r="A20" s="85">
        <v>1974</v>
      </c>
      <c r="B20" s="91">
        <v>118.735</v>
      </c>
      <c r="C20" s="91">
        <v>220.02600000000001</v>
      </c>
      <c r="D20" s="91">
        <v>137.79599999999999</v>
      </c>
      <c r="E20" s="139"/>
      <c r="F20" s="86"/>
      <c r="G20" s="140"/>
    </row>
    <row r="21" spans="1:7" x14ac:dyDescent="0.25">
      <c r="A21" s="85">
        <v>1975</v>
      </c>
      <c r="B21" s="91">
        <v>121.96899999999999</v>
      </c>
      <c r="C21" s="91">
        <v>225.33799999999999</v>
      </c>
      <c r="D21" s="91">
        <v>142.73699999999999</v>
      </c>
      <c r="E21" s="139"/>
      <c r="F21" s="86"/>
      <c r="G21" s="140"/>
    </row>
    <row r="22" spans="1:7" x14ac:dyDescent="0.25">
      <c r="A22" s="85">
        <v>1976</v>
      </c>
      <c r="B22" s="91">
        <v>124.27</v>
      </c>
      <c r="C22" s="91">
        <v>233.072</v>
      </c>
      <c r="D22" s="91">
        <v>141.029</v>
      </c>
      <c r="E22" s="139"/>
      <c r="F22" s="86"/>
      <c r="G22" s="140"/>
    </row>
    <row r="23" spans="1:7" x14ac:dyDescent="0.25">
      <c r="A23" s="85">
        <v>1977</v>
      </c>
      <c r="B23" s="91">
        <v>125.77200000000001</v>
      </c>
      <c r="C23" s="91">
        <v>227.15600000000001</v>
      </c>
      <c r="D23" s="91">
        <v>142.90899999999999</v>
      </c>
      <c r="E23" s="139"/>
      <c r="F23" s="86"/>
      <c r="G23" s="140"/>
    </row>
    <row r="24" spans="1:7" x14ac:dyDescent="0.25">
      <c r="A24" s="85">
        <v>1978</v>
      </c>
      <c r="B24" s="91">
        <v>126.04600000000001</v>
      </c>
      <c r="C24" s="91">
        <v>228.90199999999999</v>
      </c>
      <c r="D24" s="91">
        <v>143.21799999999999</v>
      </c>
      <c r="E24" s="139"/>
      <c r="F24" s="86"/>
      <c r="G24" s="140"/>
    </row>
    <row r="25" spans="1:7" x14ac:dyDescent="0.25">
      <c r="A25" s="85">
        <v>1979</v>
      </c>
      <c r="B25" s="91">
        <v>127.255</v>
      </c>
      <c r="C25" s="91">
        <v>227.83</v>
      </c>
      <c r="D25" s="91">
        <v>141.32499999999999</v>
      </c>
      <c r="F25" s="86"/>
      <c r="G25" s="140"/>
    </row>
    <row r="26" spans="1:7" x14ac:dyDescent="0.25">
      <c r="A26" s="85">
        <v>1980</v>
      </c>
      <c r="B26" s="91">
        <v>131.18899999999999</v>
      </c>
      <c r="C26" s="91">
        <v>236.90100000000001</v>
      </c>
      <c r="D26" s="91">
        <v>144.41200000000001</v>
      </c>
      <c r="E26" s="139"/>
      <c r="F26" s="86"/>
      <c r="G26" s="140"/>
    </row>
    <row r="27" spans="1:7" x14ac:dyDescent="0.25">
      <c r="A27" s="85">
        <v>1981</v>
      </c>
      <c r="B27" s="91">
        <v>133.04</v>
      </c>
      <c r="C27" s="91">
        <v>238.911</v>
      </c>
      <c r="D27" s="91">
        <v>144.375</v>
      </c>
      <c r="E27" s="139"/>
      <c r="F27" s="86"/>
      <c r="G27" s="140"/>
    </row>
    <row r="28" spans="1:7" x14ac:dyDescent="0.25">
      <c r="A28" s="85">
        <v>1982</v>
      </c>
      <c r="B28" s="91">
        <v>125.245</v>
      </c>
      <c r="C28" s="91">
        <v>238.35300000000001</v>
      </c>
      <c r="D28" s="91">
        <v>140.52600000000001</v>
      </c>
      <c r="E28" s="139"/>
      <c r="F28" s="86"/>
      <c r="G28" s="140"/>
    </row>
    <row r="29" spans="1:7" x14ac:dyDescent="0.25">
      <c r="A29" s="85">
        <v>1983</v>
      </c>
      <c r="B29" s="91">
        <v>119.699</v>
      </c>
      <c r="C29" s="91">
        <v>229.923</v>
      </c>
      <c r="D29" s="91">
        <v>144.613</v>
      </c>
      <c r="E29" s="139"/>
      <c r="F29" s="86"/>
      <c r="G29" s="140"/>
    </row>
    <row r="30" spans="1:7" x14ac:dyDescent="0.25">
      <c r="A30" s="85">
        <v>1984</v>
      </c>
      <c r="B30" s="91">
        <v>128.96899999999999</v>
      </c>
      <c r="C30" s="91">
        <v>231.66900000000001</v>
      </c>
      <c r="D30" s="91">
        <v>144.06700000000001</v>
      </c>
      <c r="E30" s="139"/>
      <c r="F30" s="86"/>
      <c r="G30" s="140"/>
    </row>
    <row r="31" spans="1:7" x14ac:dyDescent="0.25">
      <c r="A31" s="85">
        <v>1985</v>
      </c>
      <c r="B31" s="91">
        <v>130.999</v>
      </c>
      <c r="C31" s="91">
        <v>229.82599999999999</v>
      </c>
      <c r="D31" s="91">
        <v>144.72800000000001</v>
      </c>
      <c r="E31" s="139"/>
      <c r="F31" s="86"/>
      <c r="G31" s="140"/>
    </row>
    <row r="32" spans="1:7" x14ac:dyDescent="0.25">
      <c r="A32" s="85">
        <v>1986</v>
      </c>
      <c r="B32" s="91">
        <v>131.85900000000001</v>
      </c>
      <c r="C32" s="91">
        <v>227.89500000000001</v>
      </c>
      <c r="D32" s="91">
        <v>144.809</v>
      </c>
      <c r="E32" s="139"/>
      <c r="F32" s="86"/>
      <c r="G32" s="140"/>
    </row>
    <row r="33" spans="1:7" x14ac:dyDescent="0.25">
      <c r="A33" s="85">
        <v>1987</v>
      </c>
      <c r="B33" s="91">
        <v>126.86</v>
      </c>
      <c r="C33" s="91">
        <v>220.08699999999999</v>
      </c>
      <c r="D33" s="91">
        <v>141.43199999999999</v>
      </c>
      <c r="E33" s="139"/>
      <c r="F33" s="86"/>
      <c r="G33" s="140"/>
    </row>
    <row r="34" spans="1:7" x14ac:dyDescent="0.25">
      <c r="A34" s="85">
        <v>1988</v>
      </c>
      <c r="B34" s="91">
        <v>126.108</v>
      </c>
      <c r="C34" s="91">
        <v>217.87799999999999</v>
      </c>
      <c r="D34" s="91">
        <v>146.58199999999999</v>
      </c>
      <c r="E34" s="139"/>
      <c r="F34" s="86"/>
      <c r="G34" s="140"/>
    </row>
    <row r="35" spans="1:7" x14ac:dyDescent="0.25">
      <c r="A35" s="85">
        <v>1989</v>
      </c>
      <c r="B35" s="91">
        <v>127.31</v>
      </c>
      <c r="C35" s="91">
        <v>226.333</v>
      </c>
      <c r="D35" s="91">
        <v>147.81100000000001</v>
      </c>
      <c r="E35" s="139"/>
      <c r="F35" s="86"/>
      <c r="G35" s="140"/>
    </row>
    <row r="36" spans="1:7" x14ac:dyDescent="0.25">
      <c r="A36" s="85">
        <v>1990</v>
      </c>
      <c r="B36" s="91">
        <v>129.102</v>
      </c>
      <c r="C36" s="91">
        <v>231.01499999999999</v>
      </c>
      <c r="D36" s="91">
        <v>146.96600000000001</v>
      </c>
      <c r="E36" s="139"/>
      <c r="F36" s="86"/>
      <c r="G36" s="140"/>
    </row>
    <row r="37" spans="1:7" x14ac:dyDescent="0.25">
      <c r="A37" s="85">
        <v>1991</v>
      </c>
      <c r="B37" s="91">
        <v>132.49799999999999</v>
      </c>
      <c r="C37" s="91">
        <v>222.77</v>
      </c>
      <c r="D37" s="91">
        <v>147.48599999999999</v>
      </c>
      <c r="E37" s="139"/>
      <c r="F37" s="86"/>
      <c r="G37" s="140"/>
    </row>
    <row r="38" spans="1:7" x14ac:dyDescent="0.25">
      <c r="A38" s="85">
        <v>1992</v>
      </c>
      <c r="B38" s="91">
        <v>133.08000000000001</v>
      </c>
      <c r="C38" s="91">
        <v>222.06100000000001</v>
      </c>
      <c r="D38" s="91">
        <v>146.47999999999999</v>
      </c>
      <c r="E38" s="139"/>
      <c r="F38" s="86"/>
      <c r="G38" s="140"/>
    </row>
    <row r="39" spans="1:7" x14ac:dyDescent="0.25">
      <c r="A39" s="88">
        <v>1993</v>
      </c>
      <c r="B39" s="91">
        <v>130.703</v>
      </c>
      <c r="C39" s="91">
        <v>221.04400000000001</v>
      </c>
      <c r="D39" s="91">
        <v>145.33199999999999</v>
      </c>
      <c r="E39" s="139"/>
      <c r="F39" s="86"/>
      <c r="G39" s="140"/>
    </row>
    <row r="40" spans="1:7" x14ac:dyDescent="0.25">
      <c r="A40" s="85">
        <v>1994</v>
      </c>
      <c r="B40" s="91">
        <v>135.16900000000001</v>
      </c>
      <c r="C40" s="91">
        <v>213.32599999999999</v>
      </c>
      <c r="D40" s="91">
        <v>147.34200000000001</v>
      </c>
      <c r="E40" s="139"/>
      <c r="F40" s="86"/>
      <c r="G40" s="140"/>
    </row>
    <row r="41" spans="1:7" x14ac:dyDescent="0.25">
      <c r="A41" s="85">
        <v>1995</v>
      </c>
      <c r="B41" s="91">
        <v>134.96600000000001</v>
      </c>
      <c r="C41" s="91">
        <v>216.715</v>
      </c>
      <c r="D41" s="91">
        <v>148.352</v>
      </c>
      <c r="E41" s="139"/>
      <c r="F41" s="86"/>
      <c r="G41" s="140"/>
    </row>
    <row r="42" spans="1:7" x14ac:dyDescent="0.25">
      <c r="A42" s="85">
        <v>1996</v>
      </c>
      <c r="B42" s="91">
        <v>141.52500000000001</v>
      </c>
      <c r="C42" s="91">
        <v>227.13200000000001</v>
      </c>
      <c r="D42" s="91">
        <v>150.083</v>
      </c>
      <c r="E42" s="139"/>
      <c r="F42" s="86"/>
      <c r="G42" s="140"/>
    </row>
    <row r="43" spans="1:7" x14ac:dyDescent="0.25">
      <c r="A43" s="85">
        <v>1997</v>
      </c>
      <c r="B43" s="91">
        <v>136.249</v>
      </c>
      <c r="C43" s="91">
        <v>226.43700000000001</v>
      </c>
      <c r="D43" s="91">
        <v>151.708</v>
      </c>
      <c r="E43" s="139"/>
      <c r="F43" s="86"/>
      <c r="G43" s="140"/>
    </row>
    <row r="44" spans="1:7" x14ac:dyDescent="0.25">
      <c r="A44" s="85">
        <v>1998</v>
      </c>
      <c r="B44" s="91">
        <v>138.94</v>
      </c>
      <c r="C44" s="91">
        <v>219.239</v>
      </c>
      <c r="D44" s="91">
        <v>153.114</v>
      </c>
      <c r="E44" s="139"/>
      <c r="F44" s="86"/>
      <c r="G44" s="140"/>
    </row>
    <row r="45" spans="1:7" x14ac:dyDescent="0.25">
      <c r="A45" s="85">
        <v>1999</v>
      </c>
      <c r="B45" s="91">
        <v>138.904</v>
      </c>
      <c r="C45" s="91">
        <v>212.79300000000001</v>
      </c>
      <c r="D45" s="91">
        <v>155.86000000000001</v>
      </c>
      <c r="E45" s="139"/>
      <c r="F45" s="86"/>
      <c r="G45" s="140"/>
    </row>
    <row r="46" spans="1:7" x14ac:dyDescent="0.25">
      <c r="A46" s="85">
        <v>2000</v>
      </c>
      <c r="B46" s="91">
        <v>137.18600000000001</v>
      </c>
      <c r="C46" s="91">
        <v>215.74</v>
      </c>
      <c r="D46" s="91">
        <v>152.44300000000001</v>
      </c>
      <c r="E46" s="139"/>
      <c r="F46" s="86"/>
      <c r="G46" s="140"/>
    </row>
    <row r="47" spans="1:7" x14ac:dyDescent="0.25">
      <c r="A47" s="85">
        <v>2001</v>
      </c>
      <c r="B47" s="91">
        <v>137.483</v>
      </c>
      <c r="C47" s="91">
        <v>214.53100000000001</v>
      </c>
      <c r="D47" s="91">
        <v>151.352</v>
      </c>
      <c r="E47" s="139"/>
      <c r="F47" s="86"/>
      <c r="G47" s="140"/>
    </row>
    <row r="48" spans="1:7" x14ac:dyDescent="0.25">
      <c r="A48" s="85">
        <v>2002</v>
      </c>
      <c r="B48" s="91">
        <v>137.31100000000001</v>
      </c>
      <c r="C48" s="91">
        <v>213.78800000000001</v>
      </c>
      <c r="D48" s="91">
        <v>146.89599999999999</v>
      </c>
      <c r="E48" s="139"/>
      <c r="F48" s="86"/>
      <c r="G48" s="140"/>
    </row>
    <row r="49" spans="1:7" x14ac:dyDescent="0.25">
      <c r="A49" s="85">
        <v>2003</v>
      </c>
      <c r="B49" s="91">
        <v>141.98500000000001</v>
      </c>
      <c r="C49" s="91">
        <v>207.797</v>
      </c>
      <c r="D49" s="91">
        <v>149.31700000000001</v>
      </c>
      <c r="E49" s="139"/>
      <c r="F49" s="86"/>
      <c r="G49" s="140"/>
    </row>
    <row r="50" spans="1:7" x14ac:dyDescent="0.25">
      <c r="A50" s="85">
        <v>2004</v>
      </c>
      <c r="B50" s="91">
        <v>145.42400000000001</v>
      </c>
      <c r="C50" s="91">
        <v>216.10400000000001</v>
      </c>
      <c r="D50" s="91">
        <v>151.839</v>
      </c>
      <c r="E50" s="139"/>
      <c r="F50" s="86"/>
      <c r="G50" s="140"/>
    </row>
    <row r="51" spans="1:7" ht="12.75" customHeight="1" x14ac:dyDescent="0.25">
      <c r="A51" s="85">
        <v>2005</v>
      </c>
      <c r="B51" s="91">
        <v>145.72800000000001</v>
      </c>
      <c r="C51" s="91">
        <v>218.72200000000001</v>
      </c>
      <c r="D51" s="91">
        <v>153.85300000000001</v>
      </c>
      <c r="E51" s="139"/>
      <c r="F51" s="86"/>
      <c r="G51" s="140"/>
    </row>
    <row r="52" spans="1:7" x14ac:dyDescent="0.25">
      <c r="A52" s="85">
        <v>2006</v>
      </c>
      <c r="B52" s="91">
        <v>149.452</v>
      </c>
      <c r="C52" s="91">
        <v>212.23099999999999</v>
      </c>
      <c r="D52" s="91">
        <v>154.50899999999999</v>
      </c>
      <c r="E52" s="139"/>
      <c r="F52" s="86"/>
      <c r="G52" s="140"/>
    </row>
    <row r="53" spans="1:7" x14ac:dyDescent="0.25">
      <c r="A53" s="85">
        <v>2007</v>
      </c>
      <c r="B53" s="91">
        <v>160.46199999999999</v>
      </c>
      <c r="C53" s="91">
        <v>217.14</v>
      </c>
      <c r="D53" s="91">
        <v>155.054</v>
      </c>
      <c r="E53" s="139"/>
      <c r="F53" s="86"/>
      <c r="G53" s="140"/>
    </row>
    <row r="54" spans="1:7" x14ac:dyDescent="0.25">
      <c r="A54" s="85">
        <v>2008</v>
      </c>
      <c r="B54" s="91">
        <v>158.50299999999999</v>
      </c>
      <c r="C54" s="91">
        <v>224.56200000000001</v>
      </c>
      <c r="D54" s="91">
        <v>158.20099999999999</v>
      </c>
      <c r="E54" s="139"/>
      <c r="F54" s="86"/>
      <c r="G54" s="140"/>
    </row>
    <row r="55" spans="1:7" x14ac:dyDescent="0.25">
      <c r="A55" s="85">
        <v>2009</v>
      </c>
      <c r="B55" s="91">
        <v>157.36500000000001</v>
      </c>
      <c r="C55" s="91">
        <v>225.821</v>
      </c>
      <c r="D55" s="91">
        <v>156.131</v>
      </c>
      <c r="E55" s="139"/>
      <c r="F55" s="86"/>
      <c r="G55" s="140"/>
    </row>
    <row r="56" spans="1:7" x14ac:dyDescent="0.25">
      <c r="A56" s="85">
        <v>2010</v>
      </c>
      <c r="B56" s="91">
        <v>162.58799999999999</v>
      </c>
      <c r="C56" s="91">
        <v>218.34399999999999</v>
      </c>
      <c r="D56" s="91">
        <v>157.733</v>
      </c>
      <c r="E56" s="139"/>
      <c r="F56" s="86"/>
      <c r="G56" s="140"/>
    </row>
    <row r="57" spans="1:7" x14ac:dyDescent="0.25">
      <c r="A57" s="84">
        <v>2011</v>
      </c>
      <c r="B57" s="92">
        <v>168.40299999999999</v>
      </c>
      <c r="C57" s="92">
        <v>221.67599999999999</v>
      </c>
      <c r="D57" s="92">
        <v>158.851</v>
      </c>
      <c r="E57" s="139"/>
      <c r="F57" s="86"/>
      <c r="G57" s="140"/>
    </row>
    <row r="58" spans="1:7" x14ac:dyDescent="0.25">
      <c r="A58" s="85"/>
    </row>
    <row r="59" spans="1:7" ht="33.75" customHeight="1" x14ac:dyDescent="0.25">
      <c r="A59" s="268" t="s">
        <v>161</v>
      </c>
      <c r="B59" s="268"/>
      <c r="C59" s="268"/>
      <c r="D59" s="268"/>
      <c r="E59" s="268"/>
      <c r="F59" s="268"/>
    </row>
    <row r="60" spans="1:7" x14ac:dyDescent="0.25">
      <c r="A60" s="268"/>
      <c r="B60" s="268"/>
      <c r="C60" s="268"/>
      <c r="D60" s="268"/>
      <c r="E60" s="268"/>
      <c r="F60" s="268"/>
    </row>
    <row r="61" spans="1:7" x14ac:dyDescent="0.25">
      <c r="A61" s="85"/>
    </row>
    <row r="62" spans="1:7" x14ac:dyDescent="0.25">
      <c r="A62" s="259" t="s">
        <v>164</v>
      </c>
      <c r="B62" s="259"/>
      <c r="C62" s="259"/>
      <c r="D62" s="259"/>
      <c r="E62" s="259"/>
      <c r="F62" s="259"/>
    </row>
    <row r="63" spans="1:7" x14ac:dyDescent="0.25">
      <c r="A63" s="259"/>
      <c r="B63" s="259"/>
      <c r="C63" s="259"/>
      <c r="D63" s="259"/>
      <c r="E63" s="259"/>
      <c r="F63" s="259"/>
    </row>
    <row r="64" spans="1:7" x14ac:dyDescent="0.25">
      <c r="A64" s="259"/>
      <c r="B64" s="259"/>
      <c r="C64" s="259"/>
      <c r="D64" s="259"/>
      <c r="E64" s="259"/>
      <c r="F64" s="259"/>
    </row>
    <row r="65" spans="1:6" x14ac:dyDescent="0.25">
      <c r="A65" s="259"/>
      <c r="B65" s="259"/>
      <c r="C65" s="259"/>
      <c r="D65" s="259"/>
      <c r="E65" s="259"/>
      <c r="F65" s="259"/>
    </row>
  </sheetData>
  <mergeCells count="3">
    <mergeCell ref="B4:D4"/>
    <mergeCell ref="A62:F65"/>
    <mergeCell ref="A59:F60"/>
  </mergeCells>
  <phoneticPr fontId="68" type="noConversion"/>
  <pageMargins left="0.7" right="0.7" top="0.75" bottom="0.75" header="0.3" footer="0.3"/>
  <pageSetup scale="83"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15</vt:i4>
      </vt:variant>
      <vt:variant>
        <vt:lpstr>Named Ranges</vt:lpstr>
      </vt:variant>
      <vt:variant>
        <vt:i4>3</vt:i4>
      </vt:variant>
    </vt:vector>
  </HeadingPairs>
  <TitlesOfParts>
    <vt:vector size="36" baseType="lpstr">
      <vt:lpstr>INDEX</vt:lpstr>
      <vt:lpstr>Stocks</vt:lpstr>
      <vt:lpstr>ProdAreaYield</vt:lpstr>
      <vt:lpstr>ProdPerCap</vt:lpstr>
      <vt:lpstr>Balance</vt:lpstr>
      <vt:lpstr>AreaPerCap</vt:lpstr>
      <vt:lpstr>ProdConTrade</vt:lpstr>
      <vt:lpstr>CornWheatRice Prod</vt:lpstr>
      <vt:lpstr>CornWheatRice Area</vt:lpstr>
      <vt:lpstr>CornWheatRice Yields</vt:lpstr>
      <vt:lpstr>Top 10 Prod</vt:lpstr>
      <vt:lpstr>Top 10 Grain Importers</vt:lpstr>
      <vt:lpstr>Top 10 Grain Exporters</vt:lpstr>
      <vt:lpstr>Top 10 Consumers</vt:lpstr>
      <vt:lpstr>Grain Area per Person</vt:lpstr>
      <vt:lpstr>World Food Prices</vt:lpstr>
      <vt:lpstr>WFP Aid Recipients</vt:lpstr>
      <vt:lpstr>Food Insecurity Indicators</vt:lpstr>
      <vt:lpstr>Stocks-Days (g)</vt:lpstr>
      <vt:lpstr>Stocks-Tons (g)</vt:lpstr>
      <vt:lpstr>Yield (g)</vt:lpstr>
      <vt:lpstr>ProdPerCap (g)</vt:lpstr>
      <vt:lpstr>Balance (g)</vt:lpstr>
      <vt:lpstr>AreaPerCap (g)</vt:lpstr>
      <vt:lpstr>Area (g)</vt:lpstr>
      <vt:lpstr>Exports (g)</vt:lpstr>
      <vt:lpstr>Imports (g)</vt:lpstr>
      <vt:lpstr>CornWheatRice Prod (g)</vt:lpstr>
      <vt:lpstr>CornWheatRice Area (g)</vt:lpstr>
      <vt:lpstr>CornWheatRice Yields (g)</vt:lpstr>
      <vt:lpstr>Total Food Price Index (g)</vt:lpstr>
      <vt:lpstr>Grains Price Index (g)</vt:lpstr>
      <vt:lpstr>All Price Indices (g)</vt:lpstr>
      <vt:lpstr>'Grain Area per Person'!Print_Area</vt:lpstr>
      <vt:lpstr>ProdPerCap!Print_Area</vt:lpstr>
      <vt:lpstr>'World Food Prices'!Print_Titles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2012-09-19T19:03:58Z</dcterms:created>
  <dcterms:modified xsi:type="dcterms:W3CDTF">2012-09-25T16:00:41Z</dcterms:modified>
</cp:coreProperties>
</file>